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200" windowHeight="11835" tabRatio="837"/>
  </bookViews>
  <sheets>
    <sheet name="Summary budget" sheetId="1" r:id="rId1"/>
    <sheet name="Personnel" sheetId="4" r:id="rId2"/>
    <sheet name="Occupancy" sheetId="7" r:id="rId3"/>
    <sheet name="Sheet2" sheetId="2" state="hidden" r:id="rId4"/>
    <sheet name="Sheet3" sheetId="3" state="hidden" r:id="rId5"/>
    <sheet name="Support services" sheetId="37" r:id="rId6"/>
    <sheet name="Program 1" sheetId="40" r:id="rId7"/>
    <sheet name="Program 2" sheetId="41" r:id="rId8"/>
    <sheet name="Management &amp; General" sheetId="38" r:id="rId9"/>
    <sheet name="Marketing" sheetId="44" r:id="rId10"/>
    <sheet name="Fundraising" sheetId="39" r:id="rId11"/>
    <sheet name="Allocations" sheetId="43" r:id="rId12"/>
    <sheet name="TempRestricted" sheetId="42" r:id="rId13"/>
  </sheets>
  <externalReferences>
    <externalReference r:id="rId14"/>
  </externalReferences>
  <definedNames>
    <definedName name="ac_client_avg" localSheetId="9">#REF!</definedName>
    <definedName name="ac_client_avg">#REF!</definedName>
    <definedName name="ACare_clients_avg">'[1]CD Treatment Fees'!$S$8</definedName>
    <definedName name="advertising" localSheetId="9">#REF!</definedName>
    <definedName name="advertising">#REF!</definedName>
    <definedName name="CAM" localSheetId="9">Occupancy!#REF!</definedName>
    <definedName name="CAM">Occupancy!#REF!</definedName>
    <definedName name="cd_client_avg" localSheetId="9">#REF!</definedName>
    <definedName name="cd_client_avg">#REF!</definedName>
    <definedName name="Day_full_avg">'[1]Day program fees'!$Q$7</definedName>
    <definedName name="day_income" localSheetId="9">#REF!</definedName>
    <definedName name="day_income">#REF!</definedName>
    <definedName name="Day_prog_full" localSheetId="9">#REF!</definedName>
    <definedName name="Day_prog_full">#REF!</definedName>
    <definedName name="day_prog_tx" localSheetId="9">#REF!</definedName>
    <definedName name="day_prog_tx">#REF!</definedName>
    <definedName name="Day_tx_avg">'[1]Day program fees'!$Q$8</definedName>
    <definedName name="grant_income" localSheetId="9">#REF!</definedName>
    <definedName name="grant_income">#REF!</definedName>
    <definedName name="Loan_amt" localSheetId="9">#REF!</definedName>
    <definedName name="Loan_amt">#REF!</definedName>
    <definedName name="Loan_pmts_2010" localSheetId="9">#REF!</definedName>
    <definedName name="Loan_pmts_2010">#REF!</definedName>
    <definedName name="Loan_pmts_2011" localSheetId="9">#REF!</definedName>
    <definedName name="Loan_pmts_2011">#REF!</definedName>
    <definedName name="payroll_taxes" localSheetId="9">#REF!</definedName>
    <definedName name="payroll_taxes">#REF!</definedName>
    <definedName name="_xlnm.Print_Titles" localSheetId="2">Occupancy!$1:$3</definedName>
    <definedName name="_xlnm.Print_Titles" localSheetId="1">Personnel!$1:$6</definedName>
    <definedName name="_xlnm.Print_Titles" localSheetId="0">'Summary budget'!$1:$5</definedName>
    <definedName name="rent" localSheetId="9">Occupancy!#REF!</definedName>
    <definedName name="rent">Occupancy!#REF!</definedName>
    <definedName name="Rev_recovery_rate" localSheetId="9">#REF!</definedName>
    <definedName name="Rev_recovery_rate">#REF!</definedName>
    <definedName name="salary_expense">Personnel!$G$129:$R$129</definedName>
    <definedName name="schol_recd" localSheetId="9">#REF!</definedName>
    <definedName name="schol_recd">#REF!</definedName>
    <definedName name="TX_clients_avg">'[1]CD Treatment Fees'!$S$7</definedName>
    <definedName name="TX_fee" localSheetId="9">#REF!</definedName>
    <definedName name="TX_fee">#REF!</definedName>
    <definedName name="TX_fees" localSheetId="9">#REF!</definedName>
    <definedName name="TX_fees">#REF!</definedName>
    <definedName name="tx_scholarships" localSheetId="9">#REF!</definedName>
    <definedName name="tx_scholarships">#REF!</definedName>
    <definedName name="volunteer_reimbursements" localSheetId="9">#REF!</definedName>
    <definedName name="volunteer_reimbursements">#REF!</definedName>
    <definedName name="xport_client_month" localSheetId="9">#REF!</definedName>
    <definedName name="xport_client_month">#REF!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3" i="44" l="1"/>
  <c r="G13" i="44"/>
  <c r="H13" i="44"/>
  <c r="I13" i="44"/>
  <c r="J13" i="44"/>
  <c r="K13" i="44"/>
  <c r="L13" i="44"/>
  <c r="M13" i="44"/>
  <c r="N13" i="44"/>
  <c r="O13" i="44"/>
  <c r="P13" i="44"/>
  <c r="E13" i="44"/>
  <c r="Q13" i="44" s="1"/>
  <c r="Q22" i="41"/>
  <c r="Q23" i="41"/>
  <c r="Q24" i="41"/>
  <c r="Q25" i="41"/>
  <c r="Q26" i="41"/>
  <c r="Q27" i="41"/>
  <c r="Q28" i="41"/>
  <c r="Q29" i="41"/>
  <c r="E30" i="41"/>
  <c r="F30" i="41"/>
  <c r="G30" i="41"/>
  <c r="H30" i="41"/>
  <c r="I30" i="41"/>
  <c r="J30" i="41"/>
  <c r="K30" i="41"/>
  <c r="L30" i="41"/>
  <c r="M30" i="41"/>
  <c r="N30" i="41"/>
  <c r="O30" i="41"/>
  <c r="P30" i="41"/>
  <c r="Q30" i="41"/>
  <c r="E12" i="44"/>
  <c r="Q12" i="44" s="1"/>
  <c r="F11" i="44"/>
  <c r="G11" i="44"/>
  <c r="H11" i="44"/>
  <c r="I11" i="44"/>
  <c r="J11" i="44"/>
  <c r="K11" i="44"/>
  <c r="L11" i="44"/>
  <c r="M11" i="44"/>
  <c r="N11" i="44"/>
  <c r="O11" i="44"/>
  <c r="P11" i="44"/>
  <c r="E11" i="44"/>
  <c r="F9" i="44"/>
  <c r="G9" i="44"/>
  <c r="H9" i="44"/>
  <c r="I9" i="44"/>
  <c r="J9" i="44"/>
  <c r="K9" i="44"/>
  <c r="L9" i="44"/>
  <c r="M9" i="44"/>
  <c r="N9" i="44"/>
  <c r="O9" i="44"/>
  <c r="P9" i="44"/>
  <c r="E9" i="44"/>
  <c r="F8" i="44"/>
  <c r="G8" i="44"/>
  <c r="H8" i="44"/>
  <c r="I8" i="44"/>
  <c r="J8" i="44"/>
  <c r="K8" i="44"/>
  <c r="L8" i="44"/>
  <c r="M8" i="44"/>
  <c r="N8" i="44"/>
  <c r="O8" i="44"/>
  <c r="P8" i="44"/>
  <c r="E8" i="44"/>
  <c r="F7" i="44"/>
  <c r="G7" i="44"/>
  <c r="H7" i="44"/>
  <c r="I7" i="44"/>
  <c r="J7" i="44"/>
  <c r="K7" i="44"/>
  <c r="L7" i="44"/>
  <c r="M7" i="44"/>
  <c r="N7" i="44"/>
  <c r="O7" i="44"/>
  <c r="P7" i="44"/>
  <c r="E7" i="44"/>
  <c r="Q10" i="44"/>
  <c r="O14" i="44"/>
  <c r="M14" i="44"/>
  <c r="K14" i="44"/>
  <c r="I14" i="44"/>
  <c r="G14" i="44"/>
  <c r="Q7" i="44"/>
  <c r="E4" i="44"/>
  <c r="A2" i="44"/>
  <c r="A1" i="44"/>
  <c r="Q11" i="44" l="1"/>
  <c r="P14" i="44"/>
  <c r="L14" i="44"/>
  <c r="H14" i="44"/>
  <c r="Q9" i="44"/>
  <c r="N14" i="44"/>
  <c r="J14" i="44"/>
  <c r="F14" i="44"/>
  <c r="E14" i="44"/>
  <c r="Q8" i="44"/>
  <c r="G53" i="1"/>
  <c r="G37" i="1"/>
  <c r="G39" i="1"/>
  <c r="G40" i="1"/>
  <c r="G41" i="1"/>
  <c r="G42" i="1"/>
  <c r="G43" i="1"/>
  <c r="G44" i="1"/>
  <c r="G45" i="1"/>
  <c r="G46" i="1"/>
  <c r="G38" i="1"/>
  <c r="G18" i="1"/>
  <c r="G20" i="1"/>
  <c r="G21" i="1"/>
  <c r="G22" i="1"/>
  <c r="G23" i="1"/>
  <c r="G24" i="1"/>
  <c r="G19" i="1"/>
  <c r="F20" i="37"/>
  <c r="G20" i="37"/>
  <c r="H20" i="37"/>
  <c r="I20" i="37"/>
  <c r="J20" i="37"/>
  <c r="K20" i="37"/>
  <c r="L20" i="37"/>
  <c r="M20" i="37"/>
  <c r="N20" i="37"/>
  <c r="O20" i="37"/>
  <c r="P20" i="37"/>
  <c r="E20" i="37"/>
  <c r="Q20" i="37" s="1"/>
  <c r="E19" i="37"/>
  <c r="D20" i="37"/>
  <c r="C17" i="43"/>
  <c r="C7" i="43"/>
  <c r="S132" i="4"/>
  <c r="H132" i="4"/>
  <c r="I132" i="4"/>
  <c r="J132" i="4"/>
  <c r="K132" i="4"/>
  <c r="L132" i="4"/>
  <c r="M132" i="4"/>
  <c r="N132" i="4"/>
  <c r="O132" i="4"/>
  <c r="P132" i="4"/>
  <c r="Q132" i="4"/>
  <c r="R132" i="4"/>
  <c r="G132" i="4"/>
  <c r="F132" i="4"/>
  <c r="E132" i="4"/>
  <c r="D132" i="4"/>
  <c r="H32" i="4"/>
  <c r="I32" i="4"/>
  <c r="J32" i="4"/>
  <c r="K32" i="4"/>
  <c r="L32" i="4"/>
  <c r="M32" i="4"/>
  <c r="N32" i="4"/>
  <c r="O32" i="4"/>
  <c r="P32" i="4"/>
  <c r="Q32" i="4"/>
  <c r="R32" i="4"/>
  <c r="G32" i="4"/>
  <c r="S32" i="4" s="1"/>
  <c r="H18" i="4"/>
  <c r="I18" i="4"/>
  <c r="J18" i="4"/>
  <c r="K18" i="4"/>
  <c r="L18" i="4"/>
  <c r="M18" i="4"/>
  <c r="N18" i="4"/>
  <c r="O18" i="4"/>
  <c r="P18" i="4"/>
  <c r="Q18" i="4"/>
  <c r="R18" i="4"/>
  <c r="G18" i="4"/>
  <c r="M16" i="4"/>
  <c r="M15" i="4"/>
  <c r="G17" i="4"/>
  <c r="G16" i="4"/>
  <c r="G15" i="4"/>
  <c r="Q14" i="44" l="1"/>
  <c r="S18" i="4"/>
  <c r="C22" i="1"/>
  <c r="C24" i="1"/>
  <c r="C23" i="1"/>
  <c r="C21" i="1"/>
  <c r="C20" i="1"/>
  <c r="C19" i="1"/>
  <c r="I8" i="1"/>
  <c r="D56" i="1"/>
  <c r="F48" i="1"/>
  <c r="I48" i="1" s="1"/>
  <c r="F52" i="1"/>
  <c r="I52" i="1" s="1"/>
  <c r="C48" i="1"/>
  <c r="C49" i="1"/>
  <c r="C50" i="1"/>
  <c r="C51" i="1"/>
  <c r="C52" i="1"/>
  <c r="C39" i="1"/>
  <c r="C40" i="1"/>
  <c r="C41" i="1"/>
  <c r="C42" i="1"/>
  <c r="C43" i="1"/>
  <c r="C44" i="1"/>
  <c r="C45" i="1"/>
  <c r="C46" i="1"/>
  <c r="C38" i="1"/>
  <c r="R13" i="7"/>
  <c r="C26" i="1"/>
  <c r="C36" i="1"/>
  <c r="C35" i="1"/>
  <c r="C34" i="1"/>
  <c r="C33" i="1"/>
  <c r="C32" i="1"/>
  <c r="C31" i="1"/>
  <c r="C30" i="1"/>
  <c r="C29" i="1"/>
  <c r="C28" i="1"/>
  <c r="C27" i="1"/>
  <c r="F133" i="4"/>
  <c r="C18" i="43" s="1"/>
  <c r="F131" i="4"/>
  <c r="C16" i="43" s="1"/>
  <c r="F130" i="4"/>
  <c r="C15" i="43" s="1"/>
  <c r="F129" i="4"/>
  <c r="D17" i="37" s="1"/>
  <c r="E10" i="1"/>
  <c r="D7" i="1"/>
  <c r="Q20" i="38"/>
  <c r="F12" i="1" s="1"/>
  <c r="F15" i="1" s="1"/>
  <c r="P25" i="39"/>
  <c r="O25" i="39"/>
  <c r="N25" i="39"/>
  <c r="M25" i="39"/>
  <c r="L25" i="39"/>
  <c r="K25" i="39"/>
  <c r="J25" i="39"/>
  <c r="I25" i="39"/>
  <c r="H25" i="39"/>
  <c r="G25" i="39"/>
  <c r="F25" i="39"/>
  <c r="E25" i="39"/>
  <c r="Q24" i="39"/>
  <c r="H13" i="1" s="1"/>
  <c r="I13" i="1" s="1"/>
  <c r="Q22" i="39"/>
  <c r="H6" i="1" s="1"/>
  <c r="I6" i="1" s="1"/>
  <c r="Q21" i="39"/>
  <c r="Q20" i="39"/>
  <c r="Q19" i="39"/>
  <c r="Q18" i="39"/>
  <c r="Q17" i="39"/>
  <c r="Q16" i="39"/>
  <c r="H3" i="1"/>
  <c r="F3" i="1"/>
  <c r="E3" i="1"/>
  <c r="D3" i="1"/>
  <c r="L88" i="4"/>
  <c r="P35" i="42"/>
  <c r="P34" i="42"/>
  <c r="P33" i="42"/>
  <c r="P32" i="42"/>
  <c r="P31" i="42"/>
  <c r="P30" i="42"/>
  <c r="P29" i="42"/>
  <c r="P28" i="42"/>
  <c r="P27" i="42"/>
  <c r="P26" i="42"/>
  <c r="P25" i="42"/>
  <c r="P24" i="42"/>
  <c r="P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O20" i="42"/>
  <c r="O36" i="42" s="1"/>
  <c r="N20" i="42"/>
  <c r="N36" i="42" s="1"/>
  <c r="M20" i="42"/>
  <c r="M36" i="42" s="1"/>
  <c r="L20" i="42"/>
  <c r="L36" i="42" s="1"/>
  <c r="K20" i="42"/>
  <c r="K36" i="42" s="1"/>
  <c r="J20" i="42"/>
  <c r="J36" i="42" s="1"/>
  <c r="I20" i="42"/>
  <c r="I36" i="42" s="1"/>
  <c r="H20" i="42"/>
  <c r="H36" i="42" s="1"/>
  <c r="G20" i="42"/>
  <c r="G36" i="42" s="1"/>
  <c r="F20" i="42"/>
  <c r="F36" i="42" s="1"/>
  <c r="E20" i="42"/>
  <c r="E36" i="42" s="1"/>
  <c r="D20" i="42"/>
  <c r="Q20" i="42" s="1"/>
  <c r="B20" i="42"/>
  <c r="B36" i="42" s="1"/>
  <c r="P18" i="42"/>
  <c r="P17" i="42"/>
  <c r="P16" i="42"/>
  <c r="P15" i="42"/>
  <c r="P14" i="42"/>
  <c r="P13" i="42"/>
  <c r="P12" i="42"/>
  <c r="P11" i="42"/>
  <c r="P10" i="42"/>
  <c r="P9" i="42"/>
  <c r="P8" i="42"/>
  <c r="P20" i="42" s="1"/>
  <c r="P36" i="42" s="1"/>
  <c r="Q11" i="37"/>
  <c r="M61" i="1"/>
  <c r="K61" i="1"/>
  <c r="M15" i="1"/>
  <c r="K15" i="1"/>
  <c r="Q8" i="37"/>
  <c r="Q9" i="37"/>
  <c r="R10" i="7"/>
  <c r="Q23" i="40"/>
  <c r="E11" i="1"/>
  <c r="E7" i="1"/>
  <c r="E4" i="41"/>
  <c r="E4" i="40"/>
  <c r="E4" i="39"/>
  <c r="E4" i="38"/>
  <c r="E4" i="37"/>
  <c r="F4" i="7"/>
  <c r="G4" i="4"/>
  <c r="P29" i="40"/>
  <c r="O29" i="40"/>
  <c r="N29" i="40"/>
  <c r="M29" i="40"/>
  <c r="L29" i="40"/>
  <c r="K29" i="40"/>
  <c r="J29" i="40"/>
  <c r="I29" i="40"/>
  <c r="H29" i="40"/>
  <c r="G29" i="40"/>
  <c r="F29" i="40"/>
  <c r="E29" i="40"/>
  <c r="Q28" i="40"/>
  <c r="Q27" i="40"/>
  <c r="Q26" i="40"/>
  <c r="D11" i="1" s="1"/>
  <c r="Q25" i="40"/>
  <c r="Q24" i="40"/>
  <c r="Q22" i="40"/>
  <c r="Q21" i="40"/>
  <c r="D10" i="1" s="1"/>
  <c r="Q14" i="41"/>
  <c r="E58" i="1" s="1"/>
  <c r="Q13" i="41"/>
  <c r="E56" i="1" s="1"/>
  <c r="Q12" i="41"/>
  <c r="E59" i="1" s="1"/>
  <c r="Q11" i="41"/>
  <c r="A2" i="41"/>
  <c r="A1" i="41"/>
  <c r="Q13" i="40"/>
  <c r="D58" i="1" s="1"/>
  <c r="Q12" i="40"/>
  <c r="Q11" i="40"/>
  <c r="D59" i="1" s="1"/>
  <c r="Q10" i="40"/>
  <c r="D54" i="1" s="1"/>
  <c r="A2" i="40"/>
  <c r="A1" i="40"/>
  <c r="Q13" i="39"/>
  <c r="H57" i="1" s="1"/>
  <c r="I57" i="1" s="1"/>
  <c r="Q12" i="39"/>
  <c r="H56" i="1" s="1"/>
  <c r="Q11" i="39"/>
  <c r="H55" i="1" s="1"/>
  <c r="I55" i="1" s="1"/>
  <c r="Q10" i="39"/>
  <c r="H54" i="1" s="1"/>
  <c r="Q14" i="38"/>
  <c r="F56" i="1" s="1"/>
  <c r="F53" i="1" s="1"/>
  <c r="A2" i="39"/>
  <c r="A1" i="39"/>
  <c r="Q13" i="37"/>
  <c r="Q13" i="38"/>
  <c r="F50" i="1" s="1"/>
  <c r="I50" i="1" s="1"/>
  <c r="Q15" i="38"/>
  <c r="F51" i="1" s="1"/>
  <c r="I51" i="1" s="1"/>
  <c r="Q16" i="38"/>
  <c r="Q12" i="38"/>
  <c r="F49" i="1" s="1"/>
  <c r="I49" i="1" s="1"/>
  <c r="Q11" i="38"/>
  <c r="Q10" i="38"/>
  <c r="F39" i="1" s="1"/>
  <c r="I39" i="1" s="1"/>
  <c r="A2" i="38"/>
  <c r="A1" i="38"/>
  <c r="F15" i="37"/>
  <c r="G15" i="37"/>
  <c r="H15" i="37"/>
  <c r="I15" i="37"/>
  <c r="J15" i="37"/>
  <c r="K15" i="37"/>
  <c r="L15" i="37"/>
  <c r="M15" i="37"/>
  <c r="N15" i="37"/>
  <c r="O15" i="37"/>
  <c r="P15" i="37"/>
  <c r="E15" i="37"/>
  <c r="Q14" i="37"/>
  <c r="Q12" i="37"/>
  <c r="Q10" i="37"/>
  <c r="Q7" i="37"/>
  <c r="A2" i="37"/>
  <c r="A1" i="37"/>
  <c r="R11" i="7"/>
  <c r="Q19" i="7"/>
  <c r="P19" i="7"/>
  <c r="O19" i="7"/>
  <c r="N19" i="7"/>
  <c r="M19" i="7"/>
  <c r="L19" i="7"/>
  <c r="K19" i="7"/>
  <c r="J19" i="7"/>
  <c r="I19" i="7"/>
  <c r="H19" i="7"/>
  <c r="G19" i="7"/>
  <c r="F19" i="7"/>
  <c r="D25" i="7"/>
  <c r="J114" i="4"/>
  <c r="I114" i="4"/>
  <c r="H114" i="4"/>
  <c r="R18" i="7"/>
  <c r="R17" i="7"/>
  <c r="R15" i="7"/>
  <c r="R16" i="7"/>
  <c r="R14" i="7"/>
  <c r="R12" i="7"/>
  <c r="R9" i="7"/>
  <c r="R8" i="7"/>
  <c r="A2" i="7"/>
  <c r="A1" i="7"/>
  <c r="L114" i="4"/>
  <c r="M114" i="4"/>
  <c r="N114" i="4"/>
  <c r="O114" i="4"/>
  <c r="R114" i="4"/>
  <c r="F125" i="4"/>
  <c r="S119" i="4"/>
  <c r="S118" i="4"/>
  <c r="S117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J115" i="4"/>
  <c r="J120" i="4" s="1"/>
  <c r="J123" i="4" s="1"/>
  <c r="I115" i="4"/>
  <c r="I120" i="4" s="1"/>
  <c r="I124" i="4" s="1"/>
  <c r="H101" i="4"/>
  <c r="K101" i="4"/>
  <c r="L101" i="4"/>
  <c r="M101" i="4"/>
  <c r="N101" i="4"/>
  <c r="O101" i="4"/>
  <c r="P101" i="4"/>
  <c r="Q101" i="4"/>
  <c r="R101" i="4"/>
  <c r="G101" i="4"/>
  <c r="F112" i="4"/>
  <c r="S106" i="4"/>
  <c r="S105" i="4"/>
  <c r="S104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S103" i="4" s="1"/>
  <c r="H88" i="4"/>
  <c r="I88" i="4"/>
  <c r="J88" i="4"/>
  <c r="K88" i="4"/>
  <c r="M88" i="4"/>
  <c r="N88" i="4"/>
  <c r="O88" i="4"/>
  <c r="P88" i="4"/>
  <c r="Q88" i="4"/>
  <c r="R88" i="4"/>
  <c r="G88" i="4"/>
  <c r="F99" i="4"/>
  <c r="S92" i="4"/>
  <c r="S91" i="4"/>
  <c r="R90" i="4"/>
  <c r="Q90" i="4"/>
  <c r="P90" i="4"/>
  <c r="O90" i="4"/>
  <c r="N90" i="4"/>
  <c r="M90" i="4"/>
  <c r="L90" i="4"/>
  <c r="K90" i="4"/>
  <c r="J90" i="4"/>
  <c r="I90" i="4"/>
  <c r="H90" i="4"/>
  <c r="G90" i="4"/>
  <c r="S90" i="4" s="1"/>
  <c r="H75" i="4"/>
  <c r="I75" i="4"/>
  <c r="J75" i="4"/>
  <c r="K75" i="4"/>
  <c r="L75" i="4"/>
  <c r="M75" i="4"/>
  <c r="N75" i="4"/>
  <c r="O75" i="4"/>
  <c r="P75" i="4"/>
  <c r="Q75" i="4"/>
  <c r="R75" i="4"/>
  <c r="G75" i="4"/>
  <c r="F86" i="4"/>
  <c r="S79" i="4"/>
  <c r="S78" i="4"/>
  <c r="R77" i="4"/>
  <c r="Q77" i="4"/>
  <c r="P77" i="4"/>
  <c r="O77" i="4"/>
  <c r="N77" i="4"/>
  <c r="M77" i="4"/>
  <c r="L77" i="4"/>
  <c r="K77" i="4"/>
  <c r="J77" i="4"/>
  <c r="I77" i="4"/>
  <c r="H77" i="4"/>
  <c r="G77" i="4"/>
  <c r="H62" i="4"/>
  <c r="I62" i="4"/>
  <c r="J62" i="4"/>
  <c r="K62" i="4"/>
  <c r="L62" i="4"/>
  <c r="M62" i="4"/>
  <c r="N62" i="4"/>
  <c r="O62" i="4"/>
  <c r="P62" i="4"/>
  <c r="Q62" i="4"/>
  <c r="R62" i="4"/>
  <c r="G62" i="4"/>
  <c r="F73" i="4"/>
  <c r="S66" i="4"/>
  <c r="S65" i="4"/>
  <c r="R64" i="4"/>
  <c r="Q64" i="4"/>
  <c r="P64" i="4"/>
  <c r="O64" i="4"/>
  <c r="N64" i="4"/>
  <c r="M64" i="4"/>
  <c r="L64" i="4"/>
  <c r="K64" i="4"/>
  <c r="J64" i="4"/>
  <c r="I64" i="4"/>
  <c r="H64" i="4"/>
  <c r="G64" i="4"/>
  <c r="S64" i="4" s="1"/>
  <c r="H49" i="4"/>
  <c r="I49" i="4"/>
  <c r="J49" i="4"/>
  <c r="K49" i="4"/>
  <c r="L49" i="4"/>
  <c r="M49" i="4"/>
  <c r="N49" i="4"/>
  <c r="O49" i="4"/>
  <c r="P49" i="4"/>
  <c r="Q49" i="4"/>
  <c r="R49" i="4"/>
  <c r="G49" i="4"/>
  <c r="F60" i="4"/>
  <c r="S53" i="4"/>
  <c r="S52" i="4"/>
  <c r="R51" i="4"/>
  <c r="Q51" i="4"/>
  <c r="P51" i="4"/>
  <c r="O51" i="4"/>
  <c r="N51" i="4"/>
  <c r="M51" i="4"/>
  <c r="L51" i="4"/>
  <c r="K51" i="4"/>
  <c r="J51" i="4"/>
  <c r="I51" i="4"/>
  <c r="H51" i="4"/>
  <c r="G51" i="4"/>
  <c r="H36" i="4"/>
  <c r="I36" i="4"/>
  <c r="J36" i="4"/>
  <c r="K36" i="4"/>
  <c r="L36" i="4"/>
  <c r="M36" i="4"/>
  <c r="N36" i="4"/>
  <c r="O36" i="4"/>
  <c r="P36" i="4"/>
  <c r="Q36" i="4"/>
  <c r="R36" i="4"/>
  <c r="G36" i="4"/>
  <c r="F47" i="4"/>
  <c r="S40" i="4"/>
  <c r="S39" i="4"/>
  <c r="R38" i="4"/>
  <c r="Q38" i="4"/>
  <c r="P38" i="4"/>
  <c r="O38" i="4"/>
  <c r="N38" i="4"/>
  <c r="M38" i="4"/>
  <c r="L38" i="4"/>
  <c r="K38" i="4"/>
  <c r="J38" i="4"/>
  <c r="I38" i="4"/>
  <c r="H38" i="4"/>
  <c r="G38" i="4"/>
  <c r="S38" i="4" s="1"/>
  <c r="H22" i="4"/>
  <c r="I22" i="4"/>
  <c r="J22" i="4"/>
  <c r="K22" i="4"/>
  <c r="L22" i="4"/>
  <c r="M22" i="4"/>
  <c r="N22" i="4"/>
  <c r="O22" i="4"/>
  <c r="P22" i="4"/>
  <c r="Q22" i="4"/>
  <c r="R22" i="4"/>
  <c r="G22" i="4"/>
  <c r="F34" i="4"/>
  <c r="S26" i="4"/>
  <c r="S25" i="4"/>
  <c r="R24" i="4"/>
  <c r="Q24" i="4"/>
  <c r="P24" i="4"/>
  <c r="O24" i="4"/>
  <c r="N24" i="4"/>
  <c r="M24" i="4"/>
  <c r="L24" i="4"/>
  <c r="K24" i="4"/>
  <c r="J24" i="4"/>
  <c r="I24" i="4"/>
  <c r="H24" i="4"/>
  <c r="G24" i="4"/>
  <c r="F20" i="4"/>
  <c r="S11" i="4"/>
  <c r="S12" i="4"/>
  <c r="C140" i="4" s="1"/>
  <c r="H10" i="4"/>
  <c r="I10" i="4"/>
  <c r="J10" i="4"/>
  <c r="K10" i="4"/>
  <c r="L10" i="4"/>
  <c r="M10" i="4"/>
  <c r="N10" i="4"/>
  <c r="O10" i="4"/>
  <c r="P10" i="4"/>
  <c r="Q10" i="4"/>
  <c r="R10" i="4"/>
  <c r="G10" i="4"/>
  <c r="H8" i="4"/>
  <c r="H13" i="4" s="1"/>
  <c r="I8" i="4"/>
  <c r="I9" i="4" s="1"/>
  <c r="J8" i="4"/>
  <c r="J13" i="4" s="1"/>
  <c r="K8" i="4"/>
  <c r="K9" i="4" s="1"/>
  <c r="L8" i="4"/>
  <c r="L13" i="4" s="1"/>
  <c r="M8" i="4"/>
  <c r="M9" i="4" s="1"/>
  <c r="N8" i="4"/>
  <c r="N13" i="4" s="1"/>
  <c r="O8" i="4"/>
  <c r="O9" i="4" s="1"/>
  <c r="P8" i="4"/>
  <c r="P13" i="4" s="1"/>
  <c r="Q8" i="4"/>
  <c r="Q9" i="4" s="1"/>
  <c r="R8" i="4"/>
  <c r="R13" i="4" s="1"/>
  <c r="G8" i="4"/>
  <c r="G9" i="4" s="1"/>
  <c r="A1" i="4"/>
  <c r="A2" i="4"/>
  <c r="G35" i="1" l="1"/>
  <c r="L23" i="7"/>
  <c r="G32" i="1"/>
  <c r="E24" i="7"/>
  <c r="C26" i="43" s="1"/>
  <c r="E22" i="7"/>
  <c r="E23" i="7"/>
  <c r="C25" i="43" s="1"/>
  <c r="I23" i="7"/>
  <c r="Q23" i="7"/>
  <c r="G36" i="1"/>
  <c r="M23" i="7"/>
  <c r="G26" i="1"/>
  <c r="G34" i="1"/>
  <c r="F23" i="7"/>
  <c r="J23" i="7"/>
  <c r="N23" i="7"/>
  <c r="G29" i="1"/>
  <c r="G33" i="1"/>
  <c r="K23" i="7"/>
  <c r="O23" i="7"/>
  <c r="G28" i="1"/>
  <c r="G31" i="1"/>
  <c r="H32" i="1"/>
  <c r="H29" i="1"/>
  <c r="H33" i="1"/>
  <c r="H28" i="1"/>
  <c r="H27" i="1"/>
  <c r="H36" i="1"/>
  <c r="H26" i="1"/>
  <c r="D21" i="37"/>
  <c r="H41" i="1" s="1"/>
  <c r="C139" i="4"/>
  <c r="N124" i="4"/>
  <c r="Q110" i="4"/>
  <c r="M111" i="4"/>
  <c r="M108" i="4"/>
  <c r="S24" i="4"/>
  <c r="S51" i="4"/>
  <c r="R109" i="4"/>
  <c r="N109" i="4"/>
  <c r="N121" i="4"/>
  <c r="R122" i="4"/>
  <c r="N123" i="4"/>
  <c r="N108" i="4"/>
  <c r="M109" i="4"/>
  <c r="F33" i="1"/>
  <c r="I54" i="1"/>
  <c r="H30" i="1"/>
  <c r="H34" i="1"/>
  <c r="I11" i="1"/>
  <c r="R19" i="7"/>
  <c r="H35" i="1"/>
  <c r="H31" i="1"/>
  <c r="H7" i="1"/>
  <c r="H15" i="1" s="1"/>
  <c r="Q25" i="39"/>
  <c r="I59" i="1"/>
  <c r="D18" i="37"/>
  <c r="D40" i="1"/>
  <c r="D42" i="1"/>
  <c r="D44" i="1"/>
  <c r="D46" i="1"/>
  <c r="E14" i="43"/>
  <c r="D41" i="1"/>
  <c r="D43" i="1"/>
  <c r="D45" i="1"/>
  <c r="D38" i="1"/>
  <c r="C14" i="43"/>
  <c r="C19" i="43" s="1"/>
  <c r="F134" i="4"/>
  <c r="D19" i="37"/>
  <c r="F47" i="1"/>
  <c r="I58" i="1"/>
  <c r="E53" i="1"/>
  <c r="H53" i="1"/>
  <c r="D53" i="1"/>
  <c r="I56" i="1"/>
  <c r="I10" i="1"/>
  <c r="K63" i="1"/>
  <c r="K64" i="1" s="1"/>
  <c r="I7" i="1"/>
  <c r="E15" i="1"/>
  <c r="D15" i="1"/>
  <c r="I12" i="1"/>
  <c r="D36" i="42"/>
  <c r="M63" i="1"/>
  <c r="M64" i="1" s="1"/>
  <c r="Q29" i="40"/>
  <c r="Q15" i="37"/>
  <c r="H24" i="7"/>
  <c r="G8" i="39" s="1"/>
  <c r="J24" i="7"/>
  <c r="I8" i="39" s="1"/>
  <c r="M24" i="7"/>
  <c r="L8" i="39" s="1"/>
  <c r="O24" i="7"/>
  <c r="N8" i="39" s="1"/>
  <c r="Q24" i="7"/>
  <c r="P8" i="39" s="1"/>
  <c r="L24" i="7"/>
  <c r="K8" i="39" s="1"/>
  <c r="G24" i="7"/>
  <c r="F8" i="39" s="1"/>
  <c r="I24" i="7"/>
  <c r="H8" i="39" s="1"/>
  <c r="K24" i="7"/>
  <c r="J8" i="39" s="1"/>
  <c r="N24" i="7"/>
  <c r="M8" i="39" s="1"/>
  <c r="P24" i="7"/>
  <c r="O8" i="39" s="1"/>
  <c r="F24" i="7"/>
  <c r="E8" i="39" s="1"/>
  <c r="E21" i="7"/>
  <c r="E20" i="7"/>
  <c r="D35" i="1" s="1"/>
  <c r="J122" i="4"/>
  <c r="J124" i="4"/>
  <c r="J121" i="4"/>
  <c r="J125" i="4" s="1"/>
  <c r="I121" i="4"/>
  <c r="I122" i="4"/>
  <c r="I123" i="4"/>
  <c r="S116" i="4"/>
  <c r="S114" i="4"/>
  <c r="H115" i="4"/>
  <c r="H120" i="4" s="1"/>
  <c r="L115" i="4"/>
  <c r="L120" i="4" s="1"/>
  <c r="L124" i="4" s="1"/>
  <c r="N115" i="4"/>
  <c r="N120" i="4" s="1"/>
  <c r="N122" i="4" s="1"/>
  <c r="P115" i="4"/>
  <c r="P120" i="4" s="1"/>
  <c r="R115" i="4"/>
  <c r="R120" i="4" s="1"/>
  <c r="R124" i="4" s="1"/>
  <c r="G115" i="4"/>
  <c r="K115" i="4"/>
  <c r="K120" i="4" s="1"/>
  <c r="M115" i="4"/>
  <c r="M120" i="4" s="1"/>
  <c r="O115" i="4"/>
  <c r="O120" i="4" s="1"/>
  <c r="Q115" i="4"/>
  <c r="Q120" i="4" s="1"/>
  <c r="S101" i="4"/>
  <c r="H102" i="4"/>
  <c r="H107" i="4" s="1"/>
  <c r="H108" i="4" s="1"/>
  <c r="J102" i="4"/>
  <c r="J107" i="4" s="1"/>
  <c r="L102" i="4"/>
  <c r="L107" i="4" s="1"/>
  <c r="L108" i="4" s="1"/>
  <c r="N102" i="4"/>
  <c r="N107" i="4" s="1"/>
  <c r="N110" i="4" s="1"/>
  <c r="P102" i="4"/>
  <c r="P107" i="4" s="1"/>
  <c r="P108" i="4" s="1"/>
  <c r="R102" i="4"/>
  <c r="R107" i="4" s="1"/>
  <c r="R110" i="4" s="1"/>
  <c r="G102" i="4"/>
  <c r="I102" i="4"/>
  <c r="I107" i="4" s="1"/>
  <c r="K102" i="4"/>
  <c r="K107" i="4" s="1"/>
  <c r="K110" i="4" s="1"/>
  <c r="M102" i="4"/>
  <c r="M107" i="4" s="1"/>
  <c r="M110" i="4" s="1"/>
  <c r="O102" i="4"/>
  <c r="O107" i="4" s="1"/>
  <c r="O108" i="4" s="1"/>
  <c r="Q102" i="4"/>
  <c r="Q107" i="4" s="1"/>
  <c r="Q108" i="4" s="1"/>
  <c r="S77" i="4"/>
  <c r="S88" i="4"/>
  <c r="H89" i="4"/>
  <c r="J89" i="4"/>
  <c r="L89" i="4"/>
  <c r="N89" i="4"/>
  <c r="P89" i="4"/>
  <c r="R89" i="4"/>
  <c r="G89" i="4"/>
  <c r="I89" i="4"/>
  <c r="K89" i="4"/>
  <c r="M89" i="4"/>
  <c r="O89" i="4"/>
  <c r="Q89" i="4"/>
  <c r="S75" i="4"/>
  <c r="H76" i="4"/>
  <c r="J76" i="4"/>
  <c r="L76" i="4"/>
  <c r="N76" i="4"/>
  <c r="P76" i="4"/>
  <c r="R76" i="4"/>
  <c r="H80" i="4"/>
  <c r="J80" i="4"/>
  <c r="L80" i="4"/>
  <c r="N80" i="4"/>
  <c r="P80" i="4"/>
  <c r="R80" i="4"/>
  <c r="G76" i="4"/>
  <c r="I76" i="4"/>
  <c r="K76" i="4"/>
  <c r="M76" i="4"/>
  <c r="O76" i="4"/>
  <c r="Q76" i="4"/>
  <c r="G80" i="4"/>
  <c r="I80" i="4"/>
  <c r="K80" i="4"/>
  <c r="M80" i="4"/>
  <c r="O80" i="4"/>
  <c r="Q80" i="4"/>
  <c r="S62" i="4"/>
  <c r="H63" i="4"/>
  <c r="J63" i="4"/>
  <c r="L63" i="4"/>
  <c r="N63" i="4"/>
  <c r="P63" i="4"/>
  <c r="R63" i="4"/>
  <c r="H67" i="4"/>
  <c r="J67" i="4"/>
  <c r="L67" i="4"/>
  <c r="N67" i="4"/>
  <c r="P67" i="4"/>
  <c r="R67" i="4"/>
  <c r="G63" i="4"/>
  <c r="I63" i="4"/>
  <c r="K63" i="4"/>
  <c r="M63" i="4"/>
  <c r="O63" i="4"/>
  <c r="Q63" i="4"/>
  <c r="G67" i="4"/>
  <c r="I67" i="4"/>
  <c r="K67" i="4"/>
  <c r="M67" i="4"/>
  <c r="O67" i="4"/>
  <c r="Q67" i="4"/>
  <c r="S49" i="4"/>
  <c r="H50" i="4"/>
  <c r="J50" i="4"/>
  <c r="L50" i="4"/>
  <c r="N50" i="4"/>
  <c r="P50" i="4"/>
  <c r="R50" i="4"/>
  <c r="H54" i="4"/>
  <c r="J54" i="4"/>
  <c r="L54" i="4"/>
  <c r="N54" i="4"/>
  <c r="P54" i="4"/>
  <c r="R54" i="4"/>
  <c r="G50" i="4"/>
  <c r="I50" i="4"/>
  <c r="K50" i="4"/>
  <c r="M50" i="4"/>
  <c r="O50" i="4"/>
  <c r="Q50" i="4"/>
  <c r="G54" i="4"/>
  <c r="I54" i="4"/>
  <c r="K54" i="4"/>
  <c r="M54" i="4"/>
  <c r="O54" i="4"/>
  <c r="Q54" i="4"/>
  <c r="S10" i="4"/>
  <c r="S36" i="4"/>
  <c r="H37" i="4"/>
  <c r="J37" i="4"/>
  <c r="L37" i="4"/>
  <c r="N37" i="4"/>
  <c r="P37" i="4"/>
  <c r="R37" i="4"/>
  <c r="H41" i="4"/>
  <c r="J41" i="4"/>
  <c r="L41" i="4"/>
  <c r="N41" i="4"/>
  <c r="P41" i="4"/>
  <c r="R41" i="4"/>
  <c r="G37" i="4"/>
  <c r="I37" i="4"/>
  <c r="K37" i="4"/>
  <c r="M37" i="4"/>
  <c r="O37" i="4"/>
  <c r="Q37" i="4"/>
  <c r="G41" i="4"/>
  <c r="I41" i="4"/>
  <c r="K41" i="4"/>
  <c r="M41" i="4"/>
  <c r="O41" i="4"/>
  <c r="Q41" i="4"/>
  <c r="S22" i="4"/>
  <c r="H23" i="4"/>
  <c r="J23" i="4"/>
  <c r="L23" i="4"/>
  <c r="N23" i="4"/>
  <c r="P23" i="4"/>
  <c r="R23" i="4"/>
  <c r="H27" i="4"/>
  <c r="J27" i="4"/>
  <c r="L27" i="4"/>
  <c r="N27" i="4"/>
  <c r="P27" i="4"/>
  <c r="R27" i="4"/>
  <c r="G23" i="4"/>
  <c r="I23" i="4"/>
  <c r="K23" i="4"/>
  <c r="M23" i="4"/>
  <c r="O23" i="4"/>
  <c r="Q23" i="4"/>
  <c r="G27" i="4"/>
  <c r="I27" i="4"/>
  <c r="K27" i="4"/>
  <c r="M27" i="4"/>
  <c r="O27" i="4"/>
  <c r="Q27" i="4"/>
  <c r="S8" i="4"/>
  <c r="R9" i="4"/>
  <c r="R14" i="4" s="1"/>
  <c r="R17" i="4" s="1"/>
  <c r="P9" i="4"/>
  <c r="P14" i="4" s="1"/>
  <c r="P15" i="4" s="1"/>
  <c r="N9" i="4"/>
  <c r="N14" i="4" s="1"/>
  <c r="N17" i="4" s="1"/>
  <c r="L9" i="4"/>
  <c r="L14" i="4" s="1"/>
  <c r="L15" i="4" s="1"/>
  <c r="J9" i="4"/>
  <c r="J14" i="4" s="1"/>
  <c r="J17" i="4" s="1"/>
  <c r="H9" i="4"/>
  <c r="H14" i="4" s="1"/>
  <c r="H15" i="4" s="1"/>
  <c r="Q13" i="4"/>
  <c r="Q14" i="4" s="1"/>
  <c r="Q17" i="4" s="1"/>
  <c r="O13" i="4"/>
  <c r="O14" i="4" s="1"/>
  <c r="O17" i="4" s="1"/>
  <c r="M13" i="4"/>
  <c r="M14" i="4" s="1"/>
  <c r="M17" i="4" s="1"/>
  <c r="K13" i="4"/>
  <c r="K14" i="4" s="1"/>
  <c r="K17" i="4" s="1"/>
  <c r="I13" i="4"/>
  <c r="I14" i="4" s="1"/>
  <c r="I17" i="4" s="1"/>
  <c r="G13" i="4"/>
  <c r="P23" i="7" l="1"/>
  <c r="G30" i="1"/>
  <c r="G23" i="7"/>
  <c r="R23" i="7" s="1"/>
  <c r="H23" i="7"/>
  <c r="G27" i="1"/>
  <c r="G25" i="1" s="1"/>
  <c r="G61" i="1" s="1"/>
  <c r="G63" i="1" s="1"/>
  <c r="D31" i="1"/>
  <c r="D27" i="1"/>
  <c r="D29" i="1"/>
  <c r="D26" i="1"/>
  <c r="D30" i="1"/>
  <c r="H25" i="1"/>
  <c r="H44" i="1"/>
  <c r="H42" i="1"/>
  <c r="E17" i="43"/>
  <c r="H46" i="1"/>
  <c r="H40" i="1"/>
  <c r="E18" i="43"/>
  <c r="H38" i="1"/>
  <c r="H43" i="1"/>
  <c r="H45" i="1"/>
  <c r="H37" i="1" s="1"/>
  <c r="D37" i="1"/>
  <c r="Q124" i="4"/>
  <c r="Q123" i="4"/>
  <c r="Q122" i="4"/>
  <c r="Q121" i="4"/>
  <c r="M124" i="4"/>
  <c r="M123" i="4"/>
  <c r="M122" i="4"/>
  <c r="M121" i="4"/>
  <c r="M125" i="4" s="1"/>
  <c r="P124" i="4"/>
  <c r="P123" i="4"/>
  <c r="P122" i="4"/>
  <c r="P121" i="4"/>
  <c r="E33" i="1"/>
  <c r="C23" i="43"/>
  <c r="E31" i="1"/>
  <c r="E27" i="1"/>
  <c r="E35" i="1"/>
  <c r="E32" i="1"/>
  <c r="E29" i="1"/>
  <c r="E34" i="1"/>
  <c r="E30" i="1"/>
  <c r="O111" i="4"/>
  <c r="O112" i="4" s="1"/>
  <c r="L110" i="4"/>
  <c r="L122" i="4"/>
  <c r="L125" i="4" s="1"/>
  <c r="H109" i="4"/>
  <c r="L109" i="4"/>
  <c r="P109" i="4"/>
  <c r="K111" i="4"/>
  <c r="K109" i="4"/>
  <c r="K108" i="4"/>
  <c r="O110" i="4"/>
  <c r="C138" i="4"/>
  <c r="C136" i="4"/>
  <c r="I111" i="4"/>
  <c r="I110" i="4"/>
  <c r="I108" i="4"/>
  <c r="I109" i="4"/>
  <c r="J111" i="4"/>
  <c r="J109" i="4"/>
  <c r="J108" i="4"/>
  <c r="J110" i="4"/>
  <c r="O124" i="4"/>
  <c r="O123" i="4"/>
  <c r="O122" i="4"/>
  <c r="O121" i="4"/>
  <c r="K124" i="4"/>
  <c r="K123" i="4"/>
  <c r="K122" i="4"/>
  <c r="K125" i="4" s="1"/>
  <c r="K121" i="4"/>
  <c r="C22" i="43"/>
  <c r="D28" i="1"/>
  <c r="D36" i="1"/>
  <c r="D32" i="1"/>
  <c r="C24" i="43"/>
  <c r="F28" i="1"/>
  <c r="F32" i="1"/>
  <c r="F36" i="1"/>
  <c r="F34" i="1"/>
  <c r="F30" i="1"/>
  <c r="E28" i="1"/>
  <c r="E36" i="1"/>
  <c r="D33" i="1"/>
  <c r="E26" i="1"/>
  <c r="D34" i="1"/>
  <c r="F31" i="1"/>
  <c r="F29" i="1"/>
  <c r="F35" i="1"/>
  <c r="F26" i="1"/>
  <c r="F27" i="1"/>
  <c r="H110" i="4"/>
  <c r="P110" i="4"/>
  <c r="P112" i="4" s="1"/>
  <c r="Q109" i="4"/>
  <c r="R108" i="4"/>
  <c r="R112" i="4" s="1"/>
  <c r="L123" i="4"/>
  <c r="R123" i="4"/>
  <c r="L121" i="4"/>
  <c r="R121" i="4"/>
  <c r="H111" i="4"/>
  <c r="L111" i="4"/>
  <c r="N111" i="4"/>
  <c r="P111" i="4"/>
  <c r="R111" i="4"/>
  <c r="Q111" i="4"/>
  <c r="O109" i="4"/>
  <c r="E40" i="1"/>
  <c r="E42" i="1"/>
  <c r="E44" i="1"/>
  <c r="E46" i="1"/>
  <c r="E15" i="43"/>
  <c r="E41" i="1"/>
  <c r="E43" i="1"/>
  <c r="E45" i="1"/>
  <c r="E38" i="1"/>
  <c r="F40" i="1"/>
  <c r="F42" i="1"/>
  <c r="F44" i="1"/>
  <c r="F46" i="1"/>
  <c r="I46" i="1" s="1"/>
  <c r="F41" i="1"/>
  <c r="I41" i="1" s="1"/>
  <c r="F43" i="1"/>
  <c r="F45" i="1"/>
  <c r="F38" i="1"/>
  <c r="E16" i="43"/>
  <c r="I53" i="1"/>
  <c r="I15" i="1"/>
  <c r="Q8" i="39"/>
  <c r="F22" i="7"/>
  <c r="E8" i="38" s="1"/>
  <c r="H22" i="7"/>
  <c r="G8" i="38" s="1"/>
  <c r="J22" i="7"/>
  <c r="I8" i="38" s="1"/>
  <c r="L22" i="7"/>
  <c r="K8" i="38" s="1"/>
  <c r="N22" i="7"/>
  <c r="M8" i="38" s="1"/>
  <c r="P22" i="7"/>
  <c r="O8" i="38" s="1"/>
  <c r="G22" i="7"/>
  <c r="F8" i="38" s="1"/>
  <c r="I22" i="7"/>
  <c r="H8" i="38" s="1"/>
  <c r="K22" i="7"/>
  <c r="J8" i="38" s="1"/>
  <c r="M22" i="7"/>
  <c r="L8" i="38" s="1"/>
  <c r="O22" i="7"/>
  <c r="N8" i="38" s="1"/>
  <c r="Q22" i="7"/>
  <c r="P8" i="38" s="1"/>
  <c r="H21" i="7"/>
  <c r="G8" i="41" s="1"/>
  <c r="J21" i="7"/>
  <c r="I8" i="41" s="1"/>
  <c r="L21" i="7"/>
  <c r="K8" i="41" s="1"/>
  <c r="N21" i="7"/>
  <c r="M8" i="41" s="1"/>
  <c r="P21" i="7"/>
  <c r="O8" i="41" s="1"/>
  <c r="F21" i="7"/>
  <c r="E8" i="41" s="1"/>
  <c r="G21" i="7"/>
  <c r="F8" i="41" s="1"/>
  <c r="I21" i="7"/>
  <c r="H8" i="41" s="1"/>
  <c r="K21" i="7"/>
  <c r="J8" i="41" s="1"/>
  <c r="M21" i="7"/>
  <c r="L8" i="41" s="1"/>
  <c r="O21" i="7"/>
  <c r="N8" i="41" s="1"/>
  <c r="Q21" i="7"/>
  <c r="P8" i="41" s="1"/>
  <c r="H20" i="7"/>
  <c r="J20" i="7"/>
  <c r="I8" i="40" s="1"/>
  <c r="L20" i="7"/>
  <c r="N20" i="7"/>
  <c r="M8" i="40" s="1"/>
  <c r="P20" i="7"/>
  <c r="F20" i="7"/>
  <c r="E8" i="40" s="1"/>
  <c r="G20" i="7"/>
  <c r="I20" i="7"/>
  <c r="K20" i="7"/>
  <c r="M20" i="7"/>
  <c r="O20" i="7"/>
  <c r="Q20" i="7"/>
  <c r="E25" i="7"/>
  <c r="R24" i="7"/>
  <c r="H124" i="4"/>
  <c r="H122" i="4"/>
  <c r="H123" i="4"/>
  <c r="H121" i="4"/>
  <c r="S115" i="4"/>
  <c r="G120" i="4"/>
  <c r="O125" i="4"/>
  <c r="R125" i="4"/>
  <c r="N125" i="4"/>
  <c r="H125" i="4"/>
  <c r="I125" i="4"/>
  <c r="Q125" i="4"/>
  <c r="P125" i="4"/>
  <c r="J112" i="4"/>
  <c r="N112" i="4"/>
  <c r="S102" i="4"/>
  <c r="G107" i="4"/>
  <c r="K112" i="4"/>
  <c r="L112" i="4"/>
  <c r="H112" i="4"/>
  <c r="Q94" i="4"/>
  <c r="M94" i="4"/>
  <c r="I94" i="4"/>
  <c r="R94" i="4"/>
  <c r="N94" i="4"/>
  <c r="J94" i="4"/>
  <c r="S89" i="4"/>
  <c r="G94" i="4"/>
  <c r="S93" i="4"/>
  <c r="O94" i="4"/>
  <c r="K94" i="4"/>
  <c r="P94" i="4"/>
  <c r="L94" i="4"/>
  <c r="H94" i="4"/>
  <c r="Q81" i="4"/>
  <c r="M81" i="4"/>
  <c r="I81" i="4"/>
  <c r="R81" i="4"/>
  <c r="N81" i="4"/>
  <c r="J81" i="4"/>
  <c r="S76" i="4"/>
  <c r="G81" i="4"/>
  <c r="S80" i="4"/>
  <c r="O81" i="4"/>
  <c r="K81" i="4"/>
  <c r="P81" i="4"/>
  <c r="L81" i="4"/>
  <c r="H81" i="4"/>
  <c r="Q68" i="4"/>
  <c r="M68" i="4"/>
  <c r="I68" i="4"/>
  <c r="R68" i="4"/>
  <c r="N68" i="4"/>
  <c r="J68" i="4"/>
  <c r="S63" i="4"/>
  <c r="G68" i="4"/>
  <c r="S67" i="4"/>
  <c r="O68" i="4"/>
  <c r="K68" i="4"/>
  <c r="P68" i="4"/>
  <c r="L68" i="4"/>
  <c r="H68" i="4"/>
  <c r="Q55" i="4"/>
  <c r="M55" i="4"/>
  <c r="I55" i="4"/>
  <c r="R55" i="4"/>
  <c r="N55" i="4"/>
  <c r="J55" i="4"/>
  <c r="S50" i="4"/>
  <c r="G55" i="4"/>
  <c r="S54" i="4"/>
  <c r="O55" i="4"/>
  <c r="K55" i="4"/>
  <c r="P55" i="4"/>
  <c r="L55" i="4"/>
  <c r="H55" i="4"/>
  <c r="S13" i="4"/>
  <c r="K19" i="4"/>
  <c r="O19" i="4"/>
  <c r="K16" i="4"/>
  <c r="O16" i="4"/>
  <c r="H17" i="4"/>
  <c r="L17" i="4"/>
  <c r="P17" i="4"/>
  <c r="K15" i="4"/>
  <c r="O15" i="4"/>
  <c r="J19" i="4"/>
  <c r="N19" i="4"/>
  <c r="R19" i="4"/>
  <c r="J16" i="4"/>
  <c r="N16" i="4"/>
  <c r="R16" i="4"/>
  <c r="J15" i="4"/>
  <c r="N15" i="4"/>
  <c r="R15" i="4"/>
  <c r="I19" i="4"/>
  <c r="M19" i="4"/>
  <c r="Q19" i="4"/>
  <c r="I16" i="4"/>
  <c r="Q16" i="4"/>
  <c r="I15" i="4"/>
  <c r="Q15" i="4"/>
  <c r="H19" i="4"/>
  <c r="L19" i="4"/>
  <c r="P19" i="4"/>
  <c r="H16" i="4"/>
  <c r="L16" i="4"/>
  <c r="P16" i="4"/>
  <c r="Q42" i="4"/>
  <c r="M42" i="4"/>
  <c r="I42" i="4"/>
  <c r="R42" i="4"/>
  <c r="N42" i="4"/>
  <c r="J42" i="4"/>
  <c r="S37" i="4"/>
  <c r="G42" i="4"/>
  <c r="S41" i="4"/>
  <c r="O42" i="4"/>
  <c r="K42" i="4"/>
  <c r="P42" i="4"/>
  <c r="L42" i="4"/>
  <c r="H42" i="4"/>
  <c r="Q28" i="4"/>
  <c r="M28" i="4"/>
  <c r="I28" i="4"/>
  <c r="R28" i="4"/>
  <c r="N28" i="4"/>
  <c r="J28" i="4"/>
  <c r="S23" i="4"/>
  <c r="G28" i="4"/>
  <c r="S27" i="4"/>
  <c r="O28" i="4"/>
  <c r="K28" i="4"/>
  <c r="P28" i="4"/>
  <c r="L28" i="4"/>
  <c r="H28" i="4"/>
  <c r="S9" i="4"/>
  <c r="G14" i="4"/>
  <c r="I35" i="1" l="1"/>
  <c r="I33" i="1"/>
  <c r="I27" i="1"/>
  <c r="I31" i="1"/>
  <c r="I42" i="1"/>
  <c r="I43" i="1"/>
  <c r="I45" i="1"/>
  <c r="L30" i="4"/>
  <c r="L33" i="4"/>
  <c r="L29" i="4"/>
  <c r="L31" i="4"/>
  <c r="K33" i="4"/>
  <c r="K31" i="4"/>
  <c r="K29" i="4"/>
  <c r="K30" i="4"/>
  <c r="K130" i="4" s="1"/>
  <c r="I7" i="41" s="1"/>
  <c r="N31" i="4"/>
  <c r="N30" i="4"/>
  <c r="N130" i="4" s="1"/>
  <c r="L7" i="41" s="1"/>
  <c r="N33" i="4"/>
  <c r="N29" i="4"/>
  <c r="I31" i="4"/>
  <c r="I29" i="4"/>
  <c r="I33" i="4"/>
  <c r="I30" i="4"/>
  <c r="I130" i="4" s="1"/>
  <c r="G7" i="41" s="1"/>
  <c r="Q31" i="4"/>
  <c r="Q29" i="4"/>
  <c r="Q129" i="4" s="1"/>
  <c r="Q33" i="4"/>
  <c r="Q30" i="4"/>
  <c r="L44" i="4"/>
  <c r="L43" i="4"/>
  <c r="L46" i="4"/>
  <c r="L45" i="4"/>
  <c r="K44" i="4"/>
  <c r="K43" i="4"/>
  <c r="K46" i="4"/>
  <c r="K45" i="4"/>
  <c r="N44" i="4"/>
  <c r="N46" i="4"/>
  <c r="N133" i="4" s="1"/>
  <c r="L7" i="39" s="1"/>
  <c r="N45" i="4"/>
  <c r="N43" i="4"/>
  <c r="I46" i="4"/>
  <c r="I43" i="4"/>
  <c r="I45" i="4"/>
  <c r="I44" i="4"/>
  <c r="Q46" i="4"/>
  <c r="Q43" i="4"/>
  <c r="Q45" i="4"/>
  <c r="Q44" i="4"/>
  <c r="C141" i="4"/>
  <c r="L56" i="4"/>
  <c r="L59" i="4"/>
  <c r="L57" i="4"/>
  <c r="L58" i="4"/>
  <c r="K56" i="4"/>
  <c r="K59" i="4"/>
  <c r="K58" i="4"/>
  <c r="K57" i="4"/>
  <c r="N58" i="4"/>
  <c r="N59" i="4"/>
  <c r="N57" i="4"/>
  <c r="N56" i="4"/>
  <c r="I56" i="4"/>
  <c r="I59" i="4"/>
  <c r="I58" i="4"/>
  <c r="I57" i="4"/>
  <c r="Q56" i="4"/>
  <c r="Q59" i="4"/>
  <c r="Q58" i="4"/>
  <c r="Q57" i="4"/>
  <c r="L82" i="4"/>
  <c r="L85" i="4"/>
  <c r="L83" i="4"/>
  <c r="L84" i="4"/>
  <c r="K82" i="4"/>
  <c r="K85" i="4"/>
  <c r="K84" i="4"/>
  <c r="K83" i="4"/>
  <c r="N84" i="4"/>
  <c r="N85" i="4"/>
  <c r="N83" i="4"/>
  <c r="N82" i="4"/>
  <c r="I82" i="4"/>
  <c r="I85" i="4"/>
  <c r="I84" i="4"/>
  <c r="I83" i="4"/>
  <c r="Q82" i="4"/>
  <c r="Q85" i="4"/>
  <c r="Q84" i="4"/>
  <c r="Q83" i="4"/>
  <c r="K98" i="4"/>
  <c r="K95" i="4"/>
  <c r="K96" i="4"/>
  <c r="K99" i="4" s="1"/>
  <c r="K97" i="4"/>
  <c r="C137" i="4"/>
  <c r="N96" i="4"/>
  <c r="N97" i="4"/>
  <c r="N98" i="4"/>
  <c r="N95" i="4"/>
  <c r="I98" i="4"/>
  <c r="I95" i="4"/>
  <c r="I97" i="4"/>
  <c r="I96" i="4"/>
  <c r="Q98" i="4"/>
  <c r="Q96" i="4"/>
  <c r="Q130" i="4" s="1"/>
  <c r="O7" i="41" s="1"/>
  <c r="Q97" i="4"/>
  <c r="Q95" i="4"/>
  <c r="G109" i="4"/>
  <c r="G111" i="4"/>
  <c r="S111" i="4" s="1"/>
  <c r="G110" i="4"/>
  <c r="G108" i="4"/>
  <c r="S108" i="4" s="1"/>
  <c r="E25" i="1"/>
  <c r="I26" i="1"/>
  <c r="I36" i="1"/>
  <c r="C27" i="43"/>
  <c r="D25" i="1"/>
  <c r="H30" i="4"/>
  <c r="H31" i="4"/>
  <c r="H33" i="4"/>
  <c r="H29" i="4"/>
  <c r="P30" i="4"/>
  <c r="P31" i="4"/>
  <c r="P131" i="4" s="1"/>
  <c r="N7" i="38" s="1"/>
  <c r="P33" i="4"/>
  <c r="P133" i="4" s="1"/>
  <c r="N7" i="39" s="1"/>
  <c r="P29" i="4"/>
  <c r="O31" i="4"/>
  <c r="O29" i="4"/>
  <c r="O30" i="4"/>
  <c r="O130" i="4" s="1"/>
  <c r="M7" i="41" s="1"/>
  <c r="O33" i="4"/>
  <c r="O133" i="4" s="1"/>
  <c r="M7" i="39" s="1"/>
  <c r="G31" i="4"/>
  <c r="G30" i="4"/>
  <c r="G33" i="4"/>
  <c r="G29" i="4"/>
  <c r="J31" i="4"/>
  <c r="J30" i="4"/>
  <c r="J29" i="4"/>
  <c r="J33" i="4"/>
  <c r="J133" i="4" s="1"/>
  <c r="H7" i="39" s="1"/>
  <c r="R31" i="4"/>
  <c r="R30" i="4"/>
  <c r="R130" i="4" s="1"/>
  <c r="P7" i="41" s="1"/>
  <c r="R33" i="4"/>
  <c r="R29" i="4"/>
  <c r="R129" i="4" s="1"/>
  <c r="M31" i="4"/>
  <c r="M29" i="4"/>
  <c r="M129" i="4" s="1"/>
  <c r="M30" i="4"/>
  <c r="M33" i="4"/>
  <c r="M133" i="4" s="1"/>
  <c r="K7" i="39" s="1"/>
  <c r="H44" i="4"/>
  <c r="H45" i="4"/>
  <c r="H46" i="4"/>
  <c r="H43" i="4"/>
  <c r="P44" i="4"/>
  <c r="P45" i="4"/>
  <c r="P46" i="4"/>
  <c r="P43" i="4"/>
  <c r="O44" i="4"/>
  <c r="O43" i="4"/>
  <c r="O45" i="4"/>
  <c r="O46" i="4"/>
  <c r="G45" i="4"/>
  <c r="G44" i="4"/>
  <c r="G46" i="4"/>
  <c r="G43" i="4"/>
  <c r="J44" i="4"/>
  <c r="J45" i="4"/>
  <c r="J43" i="4"/>
  <c r="J46" i="4"/>
  <c r="R44" i="4"/>
  <c r="R45" i="4"/>
  <c r="R43" i="4"/>
  <c r="R46" i="4"/>
  <c r="R133" i="4" s="1"/>
  <c r="P7" i="39" s="1"/>
  <c r="M46" i="4"/>
  <c r="M43" i="4"/>
  <c r="M44" i="4"/>
  <c r="M45" i="4"/>
  <c r="Q133" i="4"/>
  <c r="O7" i="39" s="1"/>
  <c r="N129" i="4"/>
  <c r="L7" i="40" s="1"/>
  <c r="H56" i="4"/>
  <c r="H59" i="4"/>
  <c r="H133" i="4" s="1"/>
  <c r="F7" i="39" s="1"/>
  <c r="H58" i="4"/>
  <c r="H57" i="4"/>
  <c r="P56" i="4"/>
  <c r="P59" i="4"/>
  <c r="P58" i="4"/>
  <c r="P57" i="4"/>
  <c r="O56" i="4"/>
  <c r="O57" i="4"/>
  <c r="O60" i="4" s="1"/>
  <c r="O58" i="4"/>
  <c r="O59" i="4"/>
  <c r="G57" i="4"/>
  <c r="G59" i="4"/>
  <c r="G58" i="4"/>
  <c r="G56" i="4"/>
  <c r="S56" i="4" s="1"/>
  <c r="J58" i="4"/>
  <c r="J59" i="4"/>
  <c r="J56" i="4"/>
  <c r="J57" i="4"/>
  <c r="J130" i="4" s="1"/>
  <c r="H7" i="41" s="1"/>
  <c r="R58" i="4"/>
  <c r="R59" i="4"/>
  <c r="R56" i="4"/>
  <c r="R57" i="4"/>
  <c r="M56" i="4"/>
  <c r="M57" i="4"/>
  <c r="M58" i="4"/>
  <c r="M59" i="4"/>
  <c r="H82" i="4"/>
  <c r="H85" i="4"/>
  <c r="H84" i="4"/>
  <c r="H83" i="4"/>
  <c r="P82" i="4"/>
  <c r="P85" i="4"/>
  <c r="P84" i="4"/>
  <c r="P83" i="4"/>
  <c r="O82" i="4"/>
  <c r="O83" i="4"/>
  <c r="O84" i="4"/>
  <c r="O85" i="4"/>
  <c r="G84" i="4"/>
  <c r="G85" i="4"/>
  <c r="G83" i="4"/>
  <c r="G82" i="4"/>
  <c r="S82" i="4" s="1"/>
  <c r="J84" i="4"/>
  <c r="J85" i="4"/>
  <c r="J82" i="4"/>
  <c r="J83" i="4"/>
  <c r="R84" i="4"/>
  <c r="R85" i="4"/>
  <c r="R82" i="4"/>
  <c r="R83" i="4"/>
  <c r="M82" i="4"/>
  <c r="M83" i="4"/>
  <c r="M84" i="4"/>
  <c r="M85" i="4"/>
  <c r="H98" i="4"/>
  <c r="H96" i="4"/>
  <c r="H97" i="4"/>
  <c r="H95" i="4"/>
  <c r="P98" i="4"/>
  <c r="P97" i="4"/>
  <c r="P95" i="4"/>
  <c r="P96" i="4"/>
  <c r="O98" i="4"/>
  <c r="O96" i="4"/>
  <c r="O97" i="4"/>
  <c r="O95" i="4"/>
  <c r="O129" i="4" s="1"/>
  <c r="G97" i="4"/>
  <c r="G98" i="4"/>
  <c r="G96" i="4"/>
  <c r="G95" i="4"/>
  <c r="J98" i="4"/>
  <c r="J96" i="4"/>
  <c r="J97" i="4"/>
  <c r="J95" i="4"/>
  <c r="R98" i="4"/>
  <c r="R95" i="4"/>
  <c r="R97" i="4"/>
  <c r="R96" i="4"/>
  <c r="M98" i="4"/>
  <c r="M96" i="4"/>
  <c r="M97" i="4"/>
  <c r="M95" i="4"/>
  <c r="M99" i="4" s="1"/>
  <c r="G123" i="4"/>
  <c r="G121" i="4"/>
  <c r="S121" i="4" s="1"/>
  <c r="G124" i="4"/>
  <c r="G122" i="4"/>
  <c r="I44" i="1"/>
  <c r="I40" i="1"/>
  <c r="F25" i="1"/>
  <c r="I34" i="1"/>
  <c r="I32" i="1"/>
  <c r="I28" i="1"/>
  <c r="I30" i="1"/>
  <c r="I29" i="1"/>
  <c r="E37" i="1"/>
  <c r="S15" i="4"/>
  <c r="F37" i="1"/>
  <c r="I38" i="1"/>
  <c r="L97" i="4"/>
  <c r="L95" i="4"/>
  <c r="L98" i="4"/>
  <c r="L96" i="4"/>
  <c r="O25" i="7"/>
  <c r="N8" i="40"/>
  <c r="K25" i="7"/>
  <c r="J8" i="40"/>
  <c r="G25" i="7"/>
  <c r="F8" i="40"/>
  <c r="P25" i="7"/>
  <c r="O8" i="40"/>
  <c r="L25" i="7"/>
  <c r="K8" i="40"/>
  <c r="H25" i="7"/>
  <c r="G8" i="40"/>
  <c r="Q25" i="7"/>
  <c r="P8" i="40"/>
  <c r="M25" i="7"/>
  <c r="L8" i="40"/>
  <c r="I25" i="7"/>
  <c r="H8" i="40"/>
  <c r="Q8" i="41"/>
  <c r="N25" i="7"/>
  <c r="J25" i="7"/>
  <c r="R22" i="7"/>
  <c r="Q8" i="38" s="1"/>
  <c r="F25" i="7"/>
  <c r="R20" i="7"/>
  <c r="R21" i="7"/>
  <c r="L72" i="4"/>
  <c r="L70" i="4"/>
  <c r="L71" i="4"/>
  <c r="L69" i="4"/>
  <c r="K70" i="4"/>
  <c r="K71" i="4"/>
  <c r="K72" i="4"/>
  <c r="K133" i="4" s="1"/>
  <c r="I7" i="39" s="1"/>
  <c r="K69" i="4"/>
  <c r="N72" i="4"/>
  <c r="N70" i="4"/>
  <c r="N71" i="4"/>
  <c r="N69" i="4"/>
  <c r="I71" i="4"/>
  <c r="I72" i="4"/>
  <c r="I133" i="4" s="1"/>
  <c r="G7" i="39" s="1"/>
  <c r="I69" i="4"/>
  <c r="I129" i="4" s="1"/>
  <c r="I70" i="4"/>
  <c r="Q71" i="4"/>
  <c r="Q72" i="4"/>
  <c r="Q69" i="4"/>
  <c r="Q70" i="4"/>
  <c r="H72" i="4"/>
  <c r="H70" i="4"/>
  <c r="H71" i="4"/>
  <c r="H131" i="4" s="1"/>
  <c r="F7" i="38" s="1"/>
  <c r="H69" i="4"/>
  <c r="P72" i="4"/>
  <c r="P70" i="4"/>
  <c r="P71" i="4"/>
  <c r="P69" i="4"/>
  <c r="O70" i="4"/>
  <c r="O71" i="4"/>
  <c r="O72" i="4"/>
  <c r="O69" i="4"/>
  <c r="G71" i="4"/>
  <c r="G72" i="4"/>
  <c r="G69" i="4"/>
  <c r="G70" i="4"/>
  <c r="J72" i="4"/>
  <c r="J70" i="4"/>
  <c r="J71" i="4"/>
  <c r="J69" i="4"/>
  <c r="R72" i="4"/>
  <c r="R70" i="4"/>
  <c r="R71" i="4"/>
  <c r="R69" i="4"/>
  <c r="M71" i="4"/>
  <c r="M72" i="4"/>
  <c r="M69" i="4"/>
  <c r="M70" i="4"/>
  <c r="I112" i="4"/>
  <c r="Q112" i="4"/>
  <c r="S120" i="4"/>
  <c r="S123" i="4"/>
  <c r="S122" i="4"/>
  <c r="S124" i="4"/>
  <c r="M112" i="4"/>
  <c r="S107" i="4"/>
  <c r="S109" i="4"/>
  <c r="S110" i="4"/>
  <c r="S94" i="4"/>
  <c r="Q86" i="4"/>
  <c r="S81" i="4"/>
  <c r="M86" i="4"/>
  <c r="S68" i="4"/>
  <c r="M73" i="4"/>
  <c r="S55" i="4"/>
  <c r="G131" i="4"/>
  <c r="G19" i="4"/>
  <c r="G133" i="4" s="1"/>
  <c r="E7" i="39" s="1"/>
  <c r="S42" i="4"/>
  <c r="M47" i="4"/>
  <c r="S28" i="4"/>
  <c r="S14" i="4"/>
  <c r="P20" i="4"/>
  <c r="L20" i="4"/>
  <c r="J129" i="4" l="1"/>
  <c r="H7" i="40" s="1"/>
  <c r="K129" i="4"/>
  <c r="M130" i="4"/>
  <c r="K7" i="41" s="1"/>
  <c r="P130" i="4"/>
  <c r="N7" i="41" s="1"/>
  <c r="H130" i="4"/>
  <c r="F7" i="41" s="1"/>
  <c r="C142" i="4"/>
  <c r="G7" i="40"/>
  <c r="M7" i="40"/>
  <c r="K7" i="40"/>
  <c r="P7" i="40"/>
  <c r="I7" i="40"/>
  <c r="O7" i="40"/>
  <c r="L133" i="4"/>
  <c r="J7" i="39" s="1"/>
  <c r="L131" i="4"/>
  <c r="S43" i="4"/>
  <c r="S29" i="4"/>
  <c r="P129" i="4"/>
  <c r="H129" i="4"/>
  <c r="I25" i="1"/>
  <c r="K131" i="4"/>
  <c r="I7" i="38" s="1"/>
  <c r="G130" i="4"/>
  <c r="E7" i="41" s="1"/>
  <c r="M60" i="4"/>
  <c r="L130" i="4"/>
  <c r="G129" i="4"/>
  <c r="E7" i="40" s="1"/>
  <c r="M131" i="4"/>
  <c r="K7" i="38" s="1"/>
  <c r="R131" i="4"/>
  <c r="P7" i="38" s="1"/>
  <c r="J131" i="4"/>
  <c r="H7" i="38" s="1"/>
  <c r="O131" i="4"/>
  <c r="M7" i="38" s="1"/>
  <c r="Q131" i="4"/>
  <c r="O7" i="38" s="1"/>
  <c r="I131" i="4"/>
  <c r="G7" i="38" s="1"/>
  <c r="N131" i="4"/>
  <c r="L7" i="38" s="1"/>
  <c r="I37" i="1"/>
  <c r="E7" i="38"/>
  <c r="S133" i="4"/>
  <c r="J7" i="38"/>
  <c r="S95" i="4"/>
  <c r="L129" i="4"/>
  <c r="Q8" i="40"/>
  <c r="R25" i="7"/>
  <c r="S69" i="4"/>
  <c r="K60" i="4"/>
  <c r="O73" i="4"/>
  <c r="G125" i="4"/>
  <c r="S125" i="4" s="1"/>
  <c r="G112" i="4"/>
  <c r="S112" i="4" s="1"/>
  <c r="O99" i="4"/>
  <c r="S97" i="4"/>
  <c r="R99" i="4"/>
  <c r="J99" i="4"/>
  <c r="S98" i="4"/>
  <c r="P99" i="4"/>
  <c r="H99" i="4"/>
  <c r="L99" i="4"/>
  <c r="G99" i="4"/>
  <c r="S96" i="4"/>
  <c r="Q99" i="4"/>
  <c r="I99" i="4"/>
  <c r="N99" i="4"/>
  <c r="K73" i="4"/>
  <c r="K86" i="4"/>
  <c r="O47" i="4"/>
  <c r="I86" i="4"/>
  <c r="R86" i="4"/>
  <c r="J86" i="4"/>
  <c r="S84" i="4"/>
  <c r="S85" i="4"/>
  <c r="O86" i="4"/>
  <c r="P86" i="4"/>
  <c r="H86" i="4"/>
  <c r="L86" i="4"/>
  <c r="G86" i="4"/>
  <c r="S83" i="4"/>
  <c r="N86" i="4"/>
  <c r="S71" i="4"/>
  <c r="R73" i="4"/>
  <c r="J73" i="4"/>
  <c r="S72" i="4"/>
  <c r="P73" i="4"/>
  <c r="H73" i="4"/>
  <c r="L73" i="4"/>
  <c r="G73" i="4"/>
  <c r="S70" i="4"/>
  <c r="Q73" i="4"/>
  <c r="I73" i="4"/>
  <c r="N73" i="4"/>
  <c r="S45" i="4"/>
  <c r="K47" i="4"/>
  <c r="S58" i="4"/>
  <c r="R60" i="4"/>
  <c r="J60" i="4"/>
  <c r="S59" i="4"/>
  <c r="P60" i="4"/>
  <c r="H60" i="4"/>
  <c r="L60" i="4"/>
  <c r="G60" i="4"/>
  <c r="S57" i="4"/>
  <c r="Q60" i="4"/>
  <c r="I60" i="4"/>
  <c r="N60" i="4"/>
  <c r="M34" i="4"/>
  <c r="S31" i="4"/>
  <c r="O34" i="4"/>
  <c r="K34" i="4"/>
  <c r="R47" i="4"/>
  <c r="J47" i="4"/>
  <c r="S46" i="4"/>
  <c r="P47" i="4"/>
  <c r="H47" i="4"/>
  <c r="L47" i="4"/>
  <c r="G47" i="4"/>
  <c r="S44" i="4"/>
  <c r="Q47" i="4"/>
  <c r="I47" i="4"/>
  <c r="N47" i="4"/>
  <c r="R34" i="4"/>
  <c r="J34" i="4"/>
  <c r="S33" i="4"/>
  <c r="P34" i="4"/>
  <c r="H34" i="4"/>
  <c r="L34" i="4"/>
  <c r="G34" i="4"/>
  <c r="S30" i="4"/>
  <c r="Q34" i="4"/>
  <c r="I34" i="4"/>
  <c r="N34" i="4"/>
  <c r="H20" i="4"/>
  <c r="G20" i="4"/>
  <c r="S17" i="4"/>
  <c r="M20" i="4"/>
  <c r="N20" i="4"/>
  <c r="K20" i="4"/>
  <c r="I20" i="4"/>
  <c r="J20" i="4"/>
  <c r="Q20" i="4"/>
  <c r="R20" i="4"/>
  <c r="O20" i="4"/>
  <c r="S16" i="4"/>
  <c r="S19" i="4"/>
  <c r="S130" i="4" l="1"/>
  <c r="G134" i="4"/>
  <c r="H134" i="4" s="1"/>
  <c r="D129" i="4"/>
  <c r="J7" i="41"/>
  <c r="Q7" i="41" s="1"/>
  <c r="S20" i="4"/>
  <c r="F7" i="40"/>
  <c r="S131" i="4"/>
  <c r="Q7" i="38" s="1"/>
  <c r="N7" i="40"/>
  <c r="Q7" i="39"/>
  <c r="J7" i="40"/>
  <c r="S129" i="4"/>
  <c r="D133" i="4"/>
  <c r="D130" i="4"/>
  <c r="D131" i="4"/>
  <c r="S99" i="4"/>
  <c r="S86" i="4"/>
  <c r="S73" i="4"/>
  <c r="S60" i="4"/>
  <c r="S47" i="4"/>
  <c r="S34" i="4"/>
  <c r="S134" i="4" l="1"/>
  <c r="Q7" i="40"/>
  <c r="D134" i="4"/>
  <c r="E133" i="4" s="1"/>
  <c r="S126" i="4"/>
  <c r="I134" i="4" l="1"/>
  <c r="E131" i="4"/>
  <c r="C6" i="43" s="1"/>
  <c r="E130" i="4"/>
  <c r="E22" i="1" s="1"/>
  <c r="C8" i="43"/>
  <c r="H22" i="1"/>
  <c r="H23" i="1"/>
  <c r="H19" i="1"/>
  <c r="H21" i="1"/>
  <c r="H24" i="1"/>
  <c r="H20" i="1"/>
  <c r="E129" i="4"/>
  <c r="G21" i="37"/>
  <c r="G9" i="39" s="1"/>
  <c r="G14" i="39" s="1"/>
  <c r="G28" i="39" s="1"/>
  <c r="P21" i="37"/>
  <c r="P9" i="39" s="1"/>
  <c r="P14" i="39" s="1"/>
  <c r="P28" i="39" s="1"/>
  <c r="L21" i="37"/>
  <c r="L9" i="39" s="1"/>
  <c r="L14" i="39" s="1"/>
  <c r="L28" i="39" s="1"/>
  <c r="H21" i="37"/>
  <c r="H9" i="39" s="1"/>
  <c r="H14" i="39" s="1"/>
  <c r="H28" i="39" s="1"/>
  <c r="O21" i="37"/>
  <c r="O9" i="39" s="1"/>
  <c r="O14" i="39" s="1"/>
  <c r="O28" i="39" s="1"/>
  <c r="K21" i="37"/>
  <c r="K9" i="39" s="1"/>
  <c r="K14" i="39" s="1"/>
  <c r="K28" i="39" s="1"/>
  <c r="N21" i="37"/>
  <c r="N9" i="39" s="1"/>
  <c r="N14" i="39" s="1"/>
  <c r="N28" i="39" s="1"/>
  <c r="J21" i="37"/>
  <c r="J9" i="39" s="1"/>
  <c r="J14" i="39" s="1"/>
  <c r="J28" i="39" s="1"/>
  <c r="F21" i="37"/>
  <c r="F9" i="39" s="1"/>
  <c r="F14" i="39" s="1"/>
  <c r="F28" i="39" s="1"/>
  <c r="E21" i="37"/>
  <c r="M21" i="37"/>
  <c r="M9" i="39" s="1"/>
  <c r="M14" i="39" s="1"/>
  <c r="M28" i="39" s="1"/>
  <c r="I21" i="37"/>
  <c r="I9" i="39" s="1"/>
  <c r="I14" i="39" s="1"/>
  <c r="I28" i="39" s="1"/>
  <c r="G19" i="37"/>
  <c r="G9" i="38" s="1"/>
  <c r="G17" i="38" s="1"/>
  <c r="P19" i="37"/>
  <c r="P9" i="38" s="1"/>
  <c r="P17" i="38" s="1"/>
  <c r="L19" i="37"/>
  <c r="L9" i="38" s="1"/>
  <c r="L17" i="38" s="1"/>
  <c r="H19" i="37"/>
  <c r="H9" i="38" s="1"/>
  <c r="H17" i="38" s="1"/>
  <c r="M19" i="37"/>
  <c r="M9" i="38" s="1"/>
  <c r="M17" i="38" s="1"/>
  <c r="I19" i="37"/>
  <c r="I9" i="38" s="1"/>
  <c r="I17" i="38" s="1"/>
  <c r="N19" i="37"/>
  <c r="N9" i="38" s="1"/>
  <c r="N17" i="38" s="1"/>
  <c r="J19" i="37"/>
  <c r="J9" i="38" s="1"/>
  <c r="J17" i="38" s="1"/>
  <c r="F19" i="37"/>
  <c r="F9" i="38" s="1"/>
  <c r="F17" i="38" s="1"/>
  <c r="O19" i="37"/>
  <c r="O9" i="38" s="1"/>
  <c r="O17" i="38" s="1"/>
  <c r="K19" i="37"/>
  <c r="K9" i="38" s="1"/>
  <c r="K17" i="38" s="1"/>
  <c r="J134" i="4" l="1"/>
  <c r="F24" i="1"/>
  <c r="F19" i="1"/>
  <c r="C5" i="43"/>
  <c r="E24" i="1"/>
  <c r="E19" i="1"/>
  <c r="F20" i="1"/>
  <c r="F23" i="1"/>
  <c r="F22" i="1"/>
  <c r="E23" i="1"/>
  <c r="F21" i="1"/>
  <c r="E21" i="1"/>
  <c r="E20" i="1"/>
  <c r="C4" i="43"/>
  <c r="D22" i="1"/>
  <c r="I22" i="1" s="1"/>
  <c r="D23" i="1"/>
  <c r="D21" i="1"/>
  <c r="D19" i="1"/>
  <c r="D20" i="1"/>
  <c r="I20" i="1" s="1"/>
  <c r="D24" i="1"/>
  <c r="H18" i="1"/>
  <c r="H61" i="1" s="1"/>
  <c r="H63" i="1" s="1"/>
  <c r="H64" i="1" s="1"/>
  <c r="E134" i="4"/>
  <c r="E9" i="38"/>
  <c r="E17" i="38" s="1"/>
  <c r="Q19" i="37"/>
  <c r="Q9" i="38" s="1"/>
  <c r="Q17" i="38" s="1"/>
  <c r="Q21" i="37"/>
  <c r="E9" i="39"/>
  <c r="G17" i="37"/>
  <c r="P17" i="37"/>
  <c r="L17" i="37"/>
  <c r="H17" i="37"/>
  <c r="E17" i="37"/>
  <c r="M17" i="37"/>
  <c r="I17" i="37"/>
  <c r="D22" i="37"/>
  <c r="E19" i="43" s="1"/>
  <c r="N17" i="37"/>
  <c r="J17" i="37"/>
  <c r="F17" i="37"/>
  <c r="O17" i="37"/>
  <c r="K17" i="37"/>
  <c r="P18" i="37"/>
  <c r="P9" i="41" s="1"/>
  <c r="P15" i="41" s="1"/>
  <c r="L18" i="37"/>
  <c r="L9" i="41" s="1"/>
  <c r="L15" i="41" s="1"/>
  <c r="L18" i="41" s="1"/>
  <c r="L33" i="41" s="1"/>
  <c r="H18" i="37"/>
  <c r="H9" i="41" s="1"/>
  <c r="H15" i="41" s="1"/>
  <c r="H18" i="41" s="1"/>
  <c r="H33" i="41" s="1"/>
  <c r="O18" i="37"/>
  <c r="O9" i="41" s="1"/>
  <c r="O15" i="41" s="1"/>
  <c r="O18" i="41" s="1"/>
  <c r="O33" i="41" s="1"/>
  <c r="K18" i="37"/>
  <c r="K9" i="41" s="1"/>
  <c r="K15" i="41" s="1"/>
  <c r="G18" i="37"/>
  <c r="G9" i="41" s="1"/>
  <c r="G15" i="41" s="1"/>
  <c r="N18" i="37"/>
  <c r="N9" i="41" s="1"/>
  <c r="N15" i="41" s="1"/>
  <c r="J18" i="37"/>
  <c r="J9" i="41" s="1"/>
  <c r="J15" i="41" s="1"/>
  <c r="J18" i="41" s="1"/>
  <c r="J33" i="41" s="1"/>
  <c r="F18" i="37"/>
  <c r="F9" i="41" s="1"/>
  <c r="F15" i="41" s="1"/>
  <c r="F18" i="41" s="1"/>
  <c r="F33" i="41" s="1"/>
  <c r="E18" i="37"/>
  <c r="M18" i="37"/>
  <c r="M9" i="41" s="1"/>
  <c r="M15" i="41" s="1"/>
  <c r="I18" i="37"/>
  <c r="I9" i="41" s="1"/>
  <c r="I15" i="41" s="1"/>
  <c r="I18" i="41" s="1"/>
  <c r="I33" i="41" s="1"/>
  <c r="K134" i="4" l="1"/>
  <c r="F18" i="1"/>
  <c r="I23" i="1"/>
  <c r="C9" i="43"/>
  <c r="E18" i="1"/>
  <c r="E61" i="1" s="1"/>
  <c r="E63" i="1" s="1"/>
  <c r="E64" i="1" s="1"/>
  <c r="I24" i="1"/>
  <c r="I21" i="1"/>
  <c r="D18" i="1"/>
  <c r="I19" i="1"/>
  <c r="M18" i="41"/>
  <c r="M33" i="41" s="1"/>
  <c r="N18" i="41"/>
  <c r="N33" i="41" s="1"/>
  <c r="K18" i="41"/>
  <c r="K33" i="41" s="1"/>
  <c r="P18" i="41"/>
  <c r="P33" i="41" s="1"/>
  <c r="E9" i="41"/>
  <c r="Q18" i="37"/>
  <c r="K9" i="40"/>
  <c r="K14" i="40" s="1"/>
  <c r="K22" i="37"/>
  <c r="F22" i="37"/>
  <c r="F9" i="40"/>
  <c r="F14" i="40" s="1"/>
  <c r="N9" i="40"/>
  <c r="N14" i="40" s="1"/>
  <c r="N22" i="37"/>
  <c r="I22" i="37"/>
  <c r="I9" i="40"/>
  <c r="I14" i="40" s="1"/>
  <c r="E9" i="40"/>
  <c r="E22" i="37"/>
  <c r="Q17" i="37"/>
  <c r="L9" i="40"/>
  <c r="L14" i="40" s="1"/>
  <c r="L22" i="37"/>
  <c r="G9" i="40"/>
  <c r="G14" i="40" s="1"/>
  <c r="G22" i="37"/>
  <c r="G18" i="41"/>
  <c r="G33" i="41" s="1"/>
  <c r="O9" i="40"/>
  <c r="O14" i="40" s="1"/>
  <c r="O22" i="37"/>
  <c r="J9" i="40"/>
  <c r="J14" i="40" s="1"/>
  <c r="J22" i="37"/>
  <c r="M9" i="40"/>
  <c r="M14" i="40" s="1"/>
  <c r="M22" i="37"/>
  <c r="H22" i="37"/>
  <c r="H9" i="40"/>
  <c r="H14" i="40" s="1"/>
  <c r="P9" i="40"/>
  <c r="P14" i="40" s="1"/>
  <c r="P22" i="37"/>
  <c r="Q9" i="39"/>
  <c r="Q14" i="39" s="1"/>
  <c r="E14" i="39"/>
  <c r="E28" i="39" s="1"/>
  <c r="L134" i="4" l="1"/>
  <c r="I18" i="1"/>
  <c r="D61" i="1"/>
  <c r="P17" i="40"/>
  <c r="P32" i="40" s="1"/>
  <c r="M17" i="40"/>
  <c r="M32" i="40" s="1"/>
  <c r="J17" i="40"/>
  <c r="J32" i="40" s="1"/>
  <c r="O17" i="40"/>
  <c r="O32" i="40" s="1"/>
  <c r="N17" i="40"/>
  <c r="N32" i="40" s="1"/>
  <c r="K17" i="40"/>
  <c r="K32" i="40" s="1"/>
  <c r="H17" i="40"/>
  <c r="H32" i="40" s="1"/>
  <c r="G17" i="40"/>
  <c r="G32" i="40" s="1"/>
  <c r="L17" i="40"/>
  <c r="L32" i="40" s="1"/>
  <c r="I17" i="40"/>
  <c r="I32" i="40" s="1"/>
  <c r="F17" i="40"/>
  <c r="F32" i="40" s="1"/>
  <c r="Q28" i="39"/>
  <c r="Q9" i="40"/>
  <c r="Q14" i="40" s="1"/>
  <c r="E14" i="40"/>
  <c r="Q9" i="41"/>
  <c r="Q15" i="41" s="1"/>
  <c r="Q18" i="41" s="1"/>
  <c r="Q33" i="41" s="1"/>
  <c r="E15" i="41"/>
  <c r="E18" i="41" s="1"/>
  <c r="E33" i="41" s="1"/>
  <c r="Q22" i="37"/>
  <c r="I47" i="1"/>
  <c r="F61" i="1"/>
  <c r="M134" i="4" l="1"/>
  <c r="D66" i="1"/>
  <c r="D67" i="1" s="1"/>
  <c r="D69" i="1" s="1"/>
  <c r="D63" i="1"/>
  <c r="D64" i="1" s="1"/>
  <c r="E66" i="1"/>
  <c r="E67" i="1" s="1"/>
  <c r="E69" i="1" s="1"/>
  <c r="E17" i="40"/>
  <c r="E32" i="40" s="1"/>
  <c r="Q17" i="40"/>
  <c r="Q32" i="40" s="1"/>
  <c r="I61" i="1"/>
  <c r="I63" i="1" s="1"/>
  <c r="I64" i="1" s="1"/>
  <c r="F63" i="1"/>
  <c r="F64" i="1" s="1"/>
  <c r="I69" i="1" l="1"/>
  <c r="N134" i="4"/>
  <c r="O134" i="4" l="1"/>
  <c r="P134" i="4" l="1"/>
  <c r="Q134" i="4" l="1"/>
  <c r="R134" i="4" s="1"/>
</calcChain>
</file>

<file path=xl/sharedStrings.xml><?xml version="1.0" encoding="utf-8"?>
<sst xmlns="http://schemas.openxmlformats.org/spreadsheetml/2006/main" count="528" uniqueCount="170">
  <si>
    <t>Feb</t>
  </si>
  <si>
    <t>Mar</t>
  </si>
  <si>
    <t>Apr</t>
  </si>
  <si>
    <t>May</t>
  </si>
  <si>
    <t>Aug</t>
  </si>
  <si>
    <t>Oct</t>
  </si>
  <si>
    <t>Nov</t>
  </si>
  <si>
    <t>Dec</t>
  </si>
  <si>
    <t>Total</t>
  </si>
  <si>
    <t>Position</t>
  </si>
  <si>
    <t>Staff Name</t>
  </si>
  <si>
    <t>Program</t>
  </si>
  <si>
    <t>Salary / Wage</t>
  </si>
  <si>
    <t>%</t>
  </si>
  <si>
    <t>Jan</t>
  </si>
  <si>
    <t>Admin</t>
  </si>
  <si>
    <t>Program Manager 1</t>
  </si>
  <si>
    <t>Program Manager 2</t>
  </si>
  <si>
    <t>Program Assistant 1</t>
  </si>
  <si>
    <t>Program Assistant 2</t>
  </si>
  <si>
    <t>Accountant</t>
  </si>
  <si>
    <t>Ave Hours / Week</t>
  </si>
  <si>
    <t>June</t>
  </si>
  <si>
    <t>July</t>
  </si>
  <si>
    <t>Sept</t>
  </si>
  <si>
    <t>Program Assistant 3</t>
  </si>
  <si>
    <t>Grant writer</t>
  </si>
  <si>
    <t>Program 1</t>
  </si>
  <si>
    <t>Program 2</t>
  </si>
  <si>
    <t>Fundraising</t>
  </si>
  <si>
    <t>FICA</t>
  </si>
  <si>
    <t>Unemployment</t>
  </si>
  <si>
    <t>Workers Compensation</t>
  </si>
  <si>
    <t xml:space="preserve">Health Care </t>
  </si>
  <si>
    <t>Retirement contribution</t>
  </si>
  <si>
    <t>Benefits total</t>
  </si>
  <si>
    <t>Salary total</t>
  </si>
  <si>
    <t>Program allocations</t>
  </si>
  <si>
    <t>Executive Director</t>
  </si>
  <si>
    <t>Program 1 total staffing costs</t>
  </si>
  <si>
    <t>Program 2 total staffing costs</t>
  </si>
  <si>
    <t>Administration total staffing costs</t>
  </si>
  <si>
    <t>Fundraising total staffing costs</t>
  </si>
  <si>
    <t>Personnel Costs</t>
  </si>
  <si>
    <t>Occupancy</t>
  </si>
  <si>
    <t>Rental Budget</t>
  </si>
  <si>
    <t>Lease</t>
  </si>
  <si>
    <t>Common Area Maintence</t>
  </si>
  <si>
    <t>Electric</t>
  </si>
  <si>
    <t>Gas</t>
  </si>
  <si>
    <t>Trash service</t>
  </si>
  <si>
    <t>Janitorial Service</t>
  </si>
  <si>
    <t>Security Service</t>
  </si>
  <si>
    <t>Snow removal</t>
  </si>
  <si>
    <t>Leasehold improvements</t>
  </si>
  <si>
    <t>Administration</t>
  </si>
  <si>
    <t>Percent of total</t>
  </si>
  <si>
    <t>Program sq footage</t>
  </si>
  <si>
    <t>Insurance</t>
  </si>
  <si>
    <t>Support Services</t>
  </si>
  <si>
    <t>Telephones</t>
  </si>
  <si>
    <t>Copier Leasing and supplies</t>
  </si>
  <si>
    <t>Internet services</t>
  </si>
  <si>
    <t>Printing</t>
  </si>
  <si>
    <t>FTE Alloc.</t>
  </si>
  <si>
    <t>Mobile Phone</t>
  </si>
  <si>
    <t>Board meeting costs</t>
  </si>
  <si>
    <t>Audit</t>
  </si>
  <si>
    <t>Directors and Officers Insurance</t>
  </si>
  <si>
    <t>Legal services</t>
  </si>
  <si>
    <t>Annual report and related marketing</t>
  </si>
  <si>
    <t>Web site hosting</t>
  </si>
  <si>
    <t>Personnel</t>
  </si>
  <si>
    <t>April</t>
  </si>
  <si>
    <t>August</t>
  </si>
  <si>
    <t>Training and Travel</t>
  </si>
  <si>
    <t>Fundraising breakfast</t>
  </si>
  <si>
    <t>Consultants</t>
  </si>
  <si>
    <t>Program materials</t>
  </si>
  <si>
    <t>Expenses</t>
  </si>
  <si>
    <t>Revenue</t>
  </si>
  <si>
    <t>Client service fees</t>
  </si>
  <si>
    <t>Revenue net of expense</t>
  </si>
  <si>
    <t>Sub Total</t>
  </si>
  <si>
    <t>Grants</t>
  </si>
  <si>
    <t>Big Family Foundation</t>
  </si>
  <si>
    <t>Ginormus Corporation</t>
  </si>
  <si>
    <t>United Way</t>
  </si>
  <si>
    <t>Contributions</t>
  </si>
  <si>
    <t>Events</t>
  </si>
  <si>
    <t>Individuals</t>
  </si>
  <si>
    <t>Local businesses</t>
  </si>
  <si>
    <t>Grant income</t>
  </si>
  <si>
    <t>Helpful Foundation</t>
  </si>
  <si>
    <t>Fantanstic Family Fund</t>
  </si>
  <si>
    <t>Earned revenue</t>
  </si>
  <si>
    <t>Department of Human Services</t>
  </si>
  <si>
    <t>Acme County contract</t>
  </si>
  <si>
    <t>We Care Ministries</t>
  </si>
  <si>
    <t>LocalCorp International</t>
  </si>
  <si>
    <t>Department of Corrections</t>
  </si>
  <si>
    <t>Interest</t>
  </si>
  <si>
    <t>Local School District</t>
  </si>
  <si>
    <t>Arts R Us</t>
  </si>
  <si>
    <t>Income</t>
  </si>
  <si>
    <t>Earned Income</t>
  </si>
  <si>
    <t>Program Service Fees</t>
  </si>
  <si>
    <t>Contracts</t>
  </si>
  <si>
    <t>Released from Restriction</t>
  </si>
  <si>
    <t>Support Servcies</t>
  </si>
  <si>
    <t xml:space="preserve">Personnel </t>
  </si>
  <si>
    <t>Total Salary Costs</t>
  </si>
  <si>
    <t>Total FICA</t>
  </si>
  <si>
    <t>Total Unemployment</t>
  </si>
  <si>
    <t>Total Workers Comp</t>
  </si>
  <si>
    <t>Total Health Care</t>
  </si>
  <si>
    <t>Total Retirement</t>
  </si>
  <si>
    <t>Depreciation</t>
  </si>
  <si>
    <t>Technology purchases</t>
  </si>
  <si>
    <t>Net revenue after expense</t>
  </si>
  <si>
    <t>Office Supplies</t>
  </si>
  <si>
    <t>Margin</t>
  </si>
  <si>
    <t>Net Assets Released from Restriction</t>
  </si>
  <si>
    <t>TEMPORARILY RESTRICTED NET ASSETS</t>
  </si>
  <si>
    <t>RELEASED FROM RESTRICTION</t>
  </si>
  <si>
    <t>Pre-2011 Temporarily Restricted</t>
  </si>
  <si>
    <t>Amount</t>
  </si>
  <si>
    <t>Restricted For</t>
  </si>
  <si>
    <t>BALANCE</t>
  </si>
  <si>
    <t>Total Released 2011</t>
  </si>
  <si>
    <t>MultiYear Grant Organization</t>
  </si>
  <si>
    <t>Time restricted, 3 years at 20,000 per year</t>
  </si>
  <si>
    <t xml:space="preserve"> </t>
  </si>
  <si>
    <t>Grand Total at 12/31/10</t>
  </si>
  <si>
    <t>Temporarily Restricted</t>
  </si>
  <si>
    <t>Total Released</t>
  </si>
  <si>
    <t>BigCorp Local Office</t>
  </si>
  <si>
    <t>Grand Total</t>
  </si>
  <si>
    <t>Management and General</t>
  </si>
  <si>
    <t>Management &amp; General</t>
  </si>
  <si>
    <t>Salary</t>
  </si>
  <si>
    <t>Allocation</t>
  </si>
  <si>
    <t>Sq Ft Allocation</t>
  </si>
  <si>
    <t>FTE</t>
  </si>
  <si>
    <t>Allocations</t>
  </si>
  <si>
    <t>Man. &amp; Gen.</t>
  </si>
  <si>
    <t>Full Time Equivilency calculates the number of employees as a percentage of time spent in a program area, not related to salary costs of those employees</t>
  </si>
  <si>
    <t>Space</t>
  </si>
  <si>
    <t>Space allocation is a percentage of facility used by each program area, regardless of personnel assigned to that program</t>
  </si>
  <si>
    <t>Salary allocations are based on the time each position devotes to a program area, and allocates the total personnel costs and creates a percentage of personnel budget</t>
  </si>
  <si>
    <t>Number of FTE</t>
  </si>
  <si>
    <t>Percentage of total FTE</t>
  </si>
  <si>
    <t>Program costs</t>
  </si>
  <si>
    <t>Management and General Distribution</t>
  </si>
  <si>
    <t>Percent of program budget</t>
  </si>
  <si>
    <t>2014 Budget</t>
  </si>
  <si>
    <t>The most bestest nonprofit</t>
  </si>
  <si>
    <t>Mailings</t>
  </si>
  <si>
    <t>Marketing</t>
  </si>
  <si>
    <t>Assistant Director</t>
  </si>
  <si>
    <t>Marketing total staffing</t>
  </si>
  <si>
    <t>Mareting</t>
  </si>
  <si>
    <t>2013 Budget</t>
  </si>
  <si>
    <t>2012 Actuals</t>
  </si>
  <si>
    <t>Your Name Here, Summary Budget A1</t>
  </si>
  <si>
    <t>2011 Budget</t>
  </si>
  <si>
    <t>Advertising</t>
  </si>
  <si>
    <t>Program 1 marketing</t>
  </si>
  <si>
    <t>Program 2 marketing</t>
  </si>
  <si>
    <t>General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</si>
</sst>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"/>
    <numFmt numFmtId="167" formatCode="&quot;$&quot;#,##0"/>
    <numFmt numFmtId="168" formatCode="mm/dd/yy_)"/>
    <numFmt numFmtId="169" formatCode="0.00_)"/>
  </numFmts>
  <fonts count="19" x14ac:knownFonts="1">
    <font>
      <sz val="10"/>
      <name val="Arial"/>
    </font>
    <font>
      <sz val="10"/>
      <name val="Arial"/>
    </font>
    <font>
      <b/>
      <sz val="8"/>
      <color indexed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4"/>
      <color indexed="8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0"/>
      <name val="Arial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9C78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Alignment="1">
      <alignment horizontal="center"/>
    </xf>
    <xf numFmtId="0" fontId="2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43" fontId="5" fillId="0" borderId="0" xfId="1" applyFont="1"/>
    <xf numFmtId="0" fontId="0" fillId="0" borderId="0" xfId="0" applyBorder="1"/>
    <xf numFmtId="38" fontId="0" fillId="0" borderId="0" xfId="1" applyNumberFormat="1" applyFont="1"/>
    <xf numFmtId="0" fontId="9" fillId="0" borderId="0" xfId="0" applyFont="1"/>
    <xf numFmtId="0" fontId="11" fillId="0" borderId="0" xfId="0" applyFont="1" applyBorder="1"/>
    <xf numFmtId="0" fontId="5" fillId="0" borderId="0" xfId="0" applyFont="1" applyBorder="1"/>
    <xf numFmtId="0" fontId="8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43" fontId="7" fillId="0" borderId="0" xfId="1" applyFont="1"/>
    <xf numFmtId="0" fontId="7" fillId="0" borderId="0" xfId="0" applyFont="1" applyBorder="1"/>
    <xf numFmtId="43" fontId="10" fillId="0" borderId="0" xfId="1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165" fontId="7" fillId="0" borderId="0" xfId="1" applyNumberFormat="1" applyFont="1"/>
    <xf numFmtId="165" fontId="7" fillId="0" borderId="1" xfId="1" applyNumberFormat="1" applyFont="1" applyBorder="1"/>
    <xf numFmtId="0" fontId="7" fillId="0" borderId="0" xfId="0" applyFont="1" applyFill="1" applyAlignment="1">
      <alignment horizontal="center"/>
    </xf>
    <xf numFmtId="43" fontId="7" fillId="2" borderId="0" xfId="1" applyFont="1" applyFill="1"/>
    <xf numFmtId="0" fontId="7" fillId="0" borderId="0" xfId="0" applyFont="1" applyFill="1" applyAlignment="1">
      <alignment wrapText="1"/>
    </xf>
    <xf numFmtId="43" fontId="7" fillId="0" borderId="0" xfId="1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65" fontId="5" fillId="0" borderId="0" xfId="1" applyNumberFormat="1" applyFont="1"/>
    <xf numFmtId="165" fontId="12" fillId="0" borderId="0" xfId="1" applyNumberFormat="1" applyFont="1"/>
    <xf numFmtId="0" fontId="14" fillId="0" borderId="0" xfId="0" applyFont="1" applyBorder="1"/>
    <xf numFmtId="165" fontId="13" fillId="0" borderId="0" xfId="1" applyNumberFormat="1" applyFont="1"/>
    <xf numFmtId="0" fontId="0" fillId="2" borderId="0" xfId="0" applyFill="1" applyAlignment="1">
      <alignment wrapText="1"/>
    </xf>
    <xf numFmtId="165" fontId="7" fillId="0" borderId="0" xfId="0" applyNumberFormat="1" applyFont="1" applyBorder="1"/>
    <xf numFmtId="9" fontId="15" fillId="0" borderId="0" xfId="2" applyFont="1" applyBorder="1"/>
    <xf numFmtId="0" fontId="8" fillId="0" borderId="0" xfId="0" applyNumberFormat="1" applyFont="1" applyFill="1"/>
    <xf numFmtId="0" fontId="2" fillId="0" borderId="0" xfId="0" applyNumberFormat="1" applyFont="1" applyFill="1"/>
    <xf numFmtId="38" fontId="0" fillId="0" borderId="0" xfId="1" applyNumberFormat="1" applyFont="1" applyFill="1"/>
    <xf numFmtId="0" fontId="1" fillId="0" borderId="0" xfId="0" applyFont="1" applyFill="1" applyAlignment="1">
      <alignment horizontal="center"/>
    </xf>
    <xf numFmtId="38" fontId="9" fillId="0" borderId="0" xfId="1" applyNumberFormat="1" applyFont="1" applyFill="1"/>
    <xf numFmtId="0" fontId="5" fillId="0" borderId="0" xfId="0" applyFont="1" applyFill="1" applyAlignment="1">
      <alignment horizontal="center"/>
    </xf>
    <xf numFmtId="167" fontId="7" fillId="0" borderId="0" xfId="0" applyNumberFormat="1" applyFont="1" applyAlignment="1">
      <alignment horizontal="left" wrapText="1"/>
    </xf>
    <xf numFmtId="43" fontId="7" fillId="0" borderId="0" xfId="1" applyNumberFormat="1" applyFont="1"/>
    <xf numFmtId="0" fontId="7" fillId="0" borderId="0" xfId="0" applyFont="1" applyBorder="1" applyAlignment="1">
      <alignment wrapText="1"/>
    </xf>
    <xf numFmtId="165" fontId="7" fillId="0" borderId="0" xfId="1" applyNumberFormat="1" applyFont="1" applyBorder="1"/>
    <xf numFmtId="0" fontId="0" fillId="0" borderId="0" xfId="0" applyFill="1" applyAlignment="1">
      <alignment wrapText="1"/>
    </xf>
    <xf numFmtId="43" fontId="6" fillId="0" borderId="0" xfId="1" applyFont="1" applyAlignment="1">
      <alignment horizontal="center"/>
    </xf>
    <xf numFmtId="9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0" fontId="16" fillId="2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5" fontId="7" fillId="0" borderId="0" xfId="1" applyNumberFormat="1" applyFont="1" applyFill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164" fontId="7" fillId="4" borderId="0" xfId="2" applyNumberFormat="1" applyFont="1" applyFill="1" applyAlignment="1">
      <alignment horizontal="center"/>
    </xf>
    <xf numFmtId="165" fontId="7" fillId="4" borderId="0" xfId="1" applyNumberFormat="1" applyFont="1" applyFill="1"/>
    <xf numFmtId="164" fontId="7" fillId="5" borderId="0" xfId="2" applyNumberFormat="1" applyFont="1" applyFill="1" applyAlignment="1">
      <alignment horizontal="center"/>
    </xf>
    <xf numFmtId="165" fontId="7" fillId="5" borderId="0" xfId="1" applyNumberFormat="1" applyFont="1" applyFill="1"/>
    <xf numFmtId="0" fontId="16" fillId="6" borderId="0" xfId="0" applyFont="1" applyFill="1" applyAlignment="1">
      <alignment horizontal="left"/>
    </xf>
    <xf numFmtId="164" fontId="7" fillId="6" borderId="0" xfId="2" applyNumberFormat="1" applyFont="1" applyFill="1" applyAlignment="1">
      <alignment horizontal="center"/>
    </xf>
    <xf numFmtId="165" fontId="7" fillId="6" borderId="0" xfId="1" applyNumberFormat="1" applyFont="1" applyFill="1"/>
    <xf numFmtId="0" fontId="7" fillId="5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164" fontId="7" fillId="7" borderId="0" xfId="2" applyNumberFormat="1" applyFont="1" applyFill="1" applyAlignment="1">
      <alignment horizontal="center"/>
    </xf>
    <xf numFmtId="165" fontId="7" fillId="7" borderId="0" xfId="1" applyNumberFormat="1" applyFont="1" applyFill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6" fontId="7" fillId="0" borderId="0" xfId="0" applyNumberFormat="1" applyFont="1" applyFill="1" applyAlignment="1">
      <alignment horizontal="center"/>
    </xf>
    <xf numFmtId="43" fontId="7" fillId="0" borderId="0" xfId="1" applyFont="1" applyFill="1" applyBorder="1"/>
    <xf numFmtId="166" fontId="7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43" fontId="5" fillId="0" borderId="1" xfId="1" applyFont="1" applyFill="1" applyBorder="1"/>
    <xf numFmtId="0" fontId="5" fillId="0" borderId="0" xfId="0" applyFont="1" applyFill="1" applyBorder="1" applyAlignment="1">
      <alignment horizontal="left"/>
    </xf>
    <xf numFmtId="0" fontId="16" fillId="2" borderId="0" xfId="0" applyFont="1" applyFill="1" applyAlignment="1"/>
    <xf numFmtId="165" fontId="5" fillId="0" borderId="1" xfId="1" applyNumberFormat="1" applyFont="1" applyBorder="1"/>
    <xf numFmtId="165" fontId="5" fillId="0" borderId="0" xfId="1" applyNumberFormat="1" applyFont="1" applyBorder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1" applyFont="1" applyFill="1"/>
    <xf numFmtId="0" fontId="16" fillId="0" borderId="0" xfId="0" applyFont="1" applyAlignment="1">
      <alignment horizontal="center"/>
    </xf>
    <xf numFmtId="0" fontId="5" fillId="6" borderId="0" xfId="0" applyFont="1" applyFill="1"/>
    <xf numFmtId="0" fontId="7" fillId="6" borderId="0" xfId="0" applyFont="1" applyFill="1" applyAlignment="1">
      <alignment wrapText="1"/>
    </xf>
    <xf numFmtId="43" fontId="7" fillId="6" borderId="0" xfId="1" applyFont="1" applyFill="1"/>
    <xf numFmtId="0" fontId="5" fillId="5" borderId="0" xfId="0" applyFont="1" applyFill="1"/>
    <xf numFmtId="0" fontId="5" fillId="5" borderId="0" xfId="0" applyFont="1" applyFill="1" applyAlignment="1">
      <alignment wrapText="1"/>
    </xf>
    <xf numFmtId="43" fontId="7" fillId="5" borderId="0" xfId="1" applyFont="1" applyFill="1"/>
    <xf numFmtId="0" fontId="5" fillId="7" borderId="0" xfId="0" applyFont="1" applyFill="1"/>
    <xf numFmtId="0" fontId="7" fillId="7" borderId="0" xfId="0" applyFont="1" applyFill="1" applyAlignment="1">
      <alignment wrapText="1"/>
    </xf>
    <xf numFmtId="43" fontId="7" fillId="7" borderId="0" xfId="1" applyFont="1" applyFill="1"/>
    <xf numFmtId="0" fontId="16" fillId="0" borderId="0" xfId="0" applyFont="1"/>
    <xf numFmtId="3" fontId="5" fillId="0" borderId="0" xfId="0" applyNumberFormat="1" applyFont="1" applyFill="1" applyAlignment="1">
      <alignment horizontal="right"/>
    </xf>
    <xf numFmtId="3" fontId="5" fillId="4" borderId="0" xfId="0" applyNumberFormat="1" applyFont="1" applyFill="1" applyAlignment="1">
      <alignment horizontal="right"/>
    </xf>
    <xf numFmtId="3" fontId="5" fillId="6" borderId="0" xfId="0" applyNumberFormat="1" applyFont="1" applyFill="1" applyAlignment="1">
      <alignment horizontal="right"/>
    </xf>
    <xf numFmtId="3" fontId="5" fillId="5" borderId="0" xfId="0" applyNumberFormat="1" applyFont="1" applyFill="1" applyAlignment="1">
      <alignment horizontal="right"/>
    </xf>
    <xf numFmtId="3" fontId="5" fillId="7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9" fontId="5" fillId="0" borderId="0" xfId="0" applyNumberFormat="1" applyFont="1" applyFill="1" applyAlignment="1">
      <alignment horizontal="right"/>
    </xf>
    <xf numFmtId="165" fontId="16" fillId="0" borderId="0" xfId="1" applyNumberFormat="1" applyFont="1"/>
    <xf numFmtId="0" fontId="5" fillId="0" borderId="0" xfId="0" applyFont="1" applyAlignment="1"/>
    <xf numFmtId="0" fontId="7" fillId="0" borderId="0" xfId="0" applyFont="1" applyAlignment="1"/>
    <xf numFmtId="43" fontId="7" fillId="0" borderId="0" xfId="1" applyFont="1" applyAlignment="1"/>
    <xf numFmtId="0" fontId="7" fillId="0" borderId="0" xfId="0" applyFont="1" applyBorder="1" applyAlignment="1"/>
    <xf numFmtId="0" fontId="11" fillId="0" borderId="0" xfId="0" applyFont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16" fillId="5" borderId="0" xfId="0" applyFont="1" applyFill="1" applyAlignment="1">
      <alignment horizontal="left"/>
    </xf>
    <xf numFmtId="3" fontId="6" fillId="0" borderId="0" xfId="1" applyNumberFormat="1" applyFont="1" applyAlignment="1">
      <alignment horizontal="center"/>
    </xf>
    <xf numFmtId="3" fontId="0" fillId="0" borderId="0" xfId="0" applyNumberFormat="1" applyAlignment="1"/>
    <xf numFmtId="3" fontId="7" fillId="0" borderId="0" xfId="1" applyNumberFormat="1" applyFont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3" fontId="5" fillId="0" borderId="0" xfId="1" applyFont="1" applyAlignment="1">
      <alignment horizontal="center"/>
    </xf>
    <xf numFmtId="3" fontId="0" fillId="0" borderId="1" xfId="1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/>
    <xf numFmtId="3" fontId="5" fillId="0" borderId="0" xfId="1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9" fontId="0" fillId="0" borderId="0" xfId="0" applyNumberFormat="1" applyAlignment="1"/>
    <xf numFmtId="3" fontId="0" fillId="0" borderId="0" xfId="0" applyNumberFormat="1" applyFill="1" applyBorder="1" applyAlignment="1"/>
    <xf numFmtId="0" fontId="0" fillId="4" borderId="0" xfId="0" applyFill="1" applyAlignment="1">
      <alignment horizontal="center"/>
    </xf>
    <xf numFmtId="0" fontId="0" fillId="4" borderId="0" xfId="0" applyFill="1" applyAlignment="1"/>
    <xf numFmtId="9" fontId="0" fillId="4" borderId="0" xfId="0" applyNumberFormat="1" applyFill="1" applyAlignment="1"/>
    <xf numFmtId="3" fontId="0" fillId="4" borderId="0" xfId="1" applyNumberFormat="1" applyFont="1" applyFill="1" applyAlignment="1">
      <alignment horizontal="right"/>
    </xf>
    <xf numFmtId="3" fontId="0" fillId="4" borderId="0" xfId="0" applyNumberFormat="1" applyFill="1" applyBorder="1" applyAlignment="1"/>
    <xf numFmtId="0" fontId="0" fillId="6" borderId="0" xfId="0" applyFill="1" applyAlignment="1">
      <alignment horizontal="center"/>
    </xf>
    <xf numFmtId="0" fontId="0" fillId="6" borderId="0" xfId="0" applyFill="1" applyAlignment="1"/>
    <xf numFmtId="9" fontId="0" fillId="6" borderId="0" xfId="0" applyNumberFormat="1" applyFill="1" applyAlignment="1"/>
    <xf numFmtId="3" fontId="0" fillId="6" borderId="0" xfId="1" applyNumberFormat="1" applyFont="1" applyFill="1" applyAlignment="1">
      <alignment horizontal="right"/>
    </xf>
    <xf numFmtId="3" fontId="0" fillId="6" borderId="0" xfId="0" applyNumberFormat="1" applyFill="1" applyBorder="1" applyAlignment="1"/>
    <xf numFmtId="0" fontId="0" fillId="5" borderId="0" xfId="0" applyFill="1" applyAlignment="1">
      <alignment horizontal="center"/>
    </xf>
    <xf numFmtId="0" fontId="0" fillId="5" borderId="0" xfId="0" applyFill="1" applyAlignment="1"/>
    <xf numFmtId="9" fontId="0" fillId="5" borderId="0" xfId="0" applyNumberFormat="1" applyFill="1" applyAlignment="1"/>
    <xf numFmtId="3" fontId="0" fillId="5" borderId="0" xfId="1" applyNumberFormat="1" applyFont="1" applyFill="1" applyAlignment="1">
      <alignment horizontal="right"/>
    </xf>
    <xf numFmtId="3" fontId="0" fillId="5" borderId="0" xfId="0" applyNumberFormat="1" applyFill="1" applyBorder="1" applyAlignment="1"/>
    <xf numFmtId="0" fontId="0" fillId="7" borderId="0" xfId="0" applyFill="1" applyAlignment="1">
      <alignment horizontal="center"/>
    </xf>
    <xf numFmtId="0" fontId="0" fillId="7" borderId="0" xfId="0" applyFill="1" applyAlignment="1"/>
    <xf numFmtId="9" fontId="0" fillId="7" borderId="0" xfId="0" applyNumberFormat="1" applyFill="1" applyAlignment="1"/>
    <xf numFmtId="3" fontId="0" fillId="7" borderId="0" xfId="1" applyNumberFormat="1" applyFont="1" applyFill="1" applyAlignment="1">
      <alignment horizontal="right"/>
    </xf>
    <xf numFmtId="3" fontId="0" fillId="7" borderId="0" xfId="0" applyNumberFormat="1" applyFill="1" applyBorder="1" applyAlignment="1"/>
    <xf numFmtId="3" fontId="0" fillId="0" borderId="0" xfId="0" applyNumberFormat="1"/>
    <xf numFmtId="0" fontId="0" fillId="0" borderId="2" xfId="0" applyBorder="1"/>
    <xf numFmtId="3" fontId="0" fillId="0" borderId="2" xfId="0" applyNumberFormat="1" applyBorder="1"/>
    <xf numFmtId="0" fontId="16" fillId="0" borderId="2" xfId="0" applyFont="1" applyBorder="1"/>
    <xf numFmtId="9" fontId="5" fillId="4" borderId="0" xfId="0" applyNumberFormat="1" applyFont="1" applyFill="1" applyAlignment="1">
      <alignment horizontal="right"/>
    </xf>
    <xf numFmtId="9" fontId="5" fillId="6" borderId="0" xfId="0" applyNumberFormat="1" applyFont="1" applyFill="1" applyAlignment="1">
      <alignment horizontal="right"/>
    </xf>
    <xf numFmtId="9" fontId="5" fillId="5" borderId="0" xfId="0" applyNumberFormat="1" applyFont="1" applyFill="1" applyAlignment="1">
      <alignment horizontal="right"/>
    </xf>
    <xf numFmtId="9" fontId="6" fillId="7" borderId="0" xfId="0" applyNumberFormat="1" applyFont="1" applyFill="1" applyAlignment="1">
      <alignment horizontal="right"/>
    </xf>
    <xf numFmtId="165" fontId="16" fillId="0" borderId="0" xfId="1" applyNumberFormat="1" applyFont="1" applyBorder="1"/>
    <xf numFmtId="165" fontId="16" fillId="4" borderId="0" xfId="1" applyNumberFormat="1" applyFont="1" applyFill="1"/>
    <xf numFmtId="165" fontId="16" fillId="6" borderId="0" xfId="1" applyNumberFormat="1" applyFont="1" applyFill="1"/>
    <xf numFmtId="165" fontId="16" fillId="5" borderId="0" xfId="1" applyNumberFormat="1" applyFont="1" applyFill="1"/>
    <xf numFmtId="165" fontId="16" fillId="7" borderId="0" xfId="1" applyNumberFormat="1" applyFont="1" applyFill="1"/>
    <xf numFmtId="0" fontId="5" fillId="5" borderId="0" xfId="0" applyFont="1" applyFill="1" applyAlignment="1"/>
    <xf numFmtId="0" fontId="7" fillId="5" borderId="0" xfId="0" applyFont="1" applyFill="1" applyAlignment="1"/>
    <xf numFmtId="3" fontId="7" fillId="5" borderId="0" xfId="1" applyNumberFormat="1" applyFont="1" applyFill="1" applyAlignment="1">
      <alignment horizontal="right"/>
    </xf>
    <xf numFmtId="43" fontId="7" fillId="5" borderId="0" xfId="1" applyFont="1" applyFill="1" applyAlignment="1"/>
    <xf numFmtId="0" fontId="7" fillId="5" borderId="0" xfId="0" applyFont="1" applyFill="1" applyBorder="1" applyAlignment="1"/>
    <xf numFmtId="0" fontId="7" fillId="5" borderId="0" xfId="0" applyFont="1" applyFill="1" applyBorder="1"/>
    <xf numFmtId="0" fontId="5" fillId="7" borderId="0" xfId="0" applyFont="1" applyFill="1" applyAlignment="1"/>
    <xf numFmtId="0" fontId="7" fillId="7" borderId="0" xfId="0" applyFont="1" applyFill="1" applyAlignment="1">
      <alignment horizontal="left"/>
    </xf>
    <xf numFmtId="0" fontId="7" fillId="7" borderId="0" xfId="0" applyFont="1" applyFill="1" applyAlignment="1"/>
    <xf numFmtId="3" fontId="7" fillId="7" borderId="0" xfId="1" applyNumberFormat="1" applyFont="1" applyFill="1" applyAlignment="1">
      <alignment horizontal="right"/>
    </xf>
    <xf numFmtId="43" fontId="7" fillId="7" borderId="0" xfId="1" applyFont="1" applyFill="1" applyAlignment="1"/>
    <xf numFmtId="0" fontId="7" fillId="7" borderId="0" xfId="0" applyFont="1" applyFill="1" applyBorder="1" applyAlignment="1"/>
    <xf numFmtId="0" fontId="7" fillId="7" borderId="0" xfId="0" applyFont="1" applyFill="1" applyBorder="1"/>
    <xf numFmtId="0" fontId="5" fillId="4" borderId="0" xfId="0" applyFont="1" applyFill="1" applyAlignment="1"/>
    <xf numFmtId="0" fontId="7" fillId="4" borderId="0" xfId="0" applyFont="1" applyFill="1" applyAlignment="1">
      <alignment horizontal="left"/>
    </xf>
    <xf numFmtId="0" fontId="7" fillId="4" borderId="0" xfId="0" applyFont="1" applyFill="1" applyAlignment="1"/>
    <xf numFmtId="3" fontId="7" fillId="4" borderId="0" xfId="1" applyNumberFormat="1" applyFont="1" applyFill="1" applyAlignment="1">
      <alignment horizontal="right"/>
    </xf>
    <xf numFmtId="43" fontId="7" fillId="4" borderId="0" xfId="1" applyFont="1" applyFill="1" applyAlignment="1"/>
    <xf numFmtId="0" fontId="7" fillId="4" borderId="0" xfId="0" applyFont="1" applyFill="1" applyBorder="1" applyAlignment="1"/>
    <xf numFmtId="0" fontId="7" fillId="4" borderId="0" xfId="0" applyFont="1" applyFill="1" applyBorder="1"/>
    <xf numFmtId="0" fontId="5" fillId="6" borderId="0" xfId="0" applyFont="1" applyFill="1" applyAlignment="1"/>
    <xf numFmtId="0" fontId="7" fillId="6" borderId="0" xfId="0" applyFont="1" applyFill="1" applyAlignment="1">
      <alignment horizontal="left"/>
    </xf>
    <xf numFmtId="0" fontId="7" fillId="6" borderId="0" xfId="0" applyFont="1" applyFill="1" applyAlignment="1"/>
    <xf numFmtId="3" fontId="7" fillId="6" borderId="0" xfId="1" applyNumberFormat="1" applyFont="1" applyFill="1" applyAlignment="1">
      <alignment horizontal="right"/>
    </xf>
    <xf numFmtId="43" fontId="7" fillId="6" borderId="0" xfId="1" applyFont="1" applyFill="1" applyAlignment="1"/>
    <xf numFmtId="0" fontId="7" fillId="6" borderId="0" xfId="0" applyFont="1" applyFill="1" applyBorder="1" applyAlignment="1"/>
    <xf numFmtId="0" fontId="7" fillId="6" borderId="0" xfId="0" applyFont="1" applyFill="1" applyBorder="1"/>
    <xf numFmtId="9" fontId="16" fillId="0" borderId="0" xfId="0" applyNumberFormat="1" applyFont="1"/>
    <xf numFmtId="0" fontId="16" fillId="0" borderId="0" xfId="0" applyFont="1" applyBorder="1"/>
    <xf numFmtId="3" fontId="0" fillId="0" borderId="0" xfId="0" applyNumberFormat="1" applyBorder="1"/>
    <xf numFmtId="9" fontId="16" fillId="0" borderId="2" xfId="0" applyNumberFormat="1" applyFont="1" applyBorder="1"/>
    <xf numFmtId="9" fontId="16" fillId="0" borderId="0" xfId="0" applyNumberFormat="1" applyFont="1" applyBorder="1"/>
    <xf numFmtId="0" fontId="5" fillId="0" borderId="0" xfId="0" applyFont="1" applyFill="1" applyBorder="1"/>
    <xf numFmtId="9" fontId="5" fillId="0" borderId="0" xfId="0" applyNumberFormat="1" applyFont="1" applyBorder="1"/>
    <xf numFmtId="3" fontId="5" fillId="0" borderId="0" xfId="0" applyNumberFormat="1" applyFont="1" applyBorder="1"/>
    <xf numFmtId="9" fontId="5" fillId="0" borderId="0" xfId="0" applyNumberFormat="1" applyFont="1"/>
    <xf numFmtId="3" fontId="5" fillId="0" borderId="0" xfId="0" applyNumberFormat="1" applyFont="1"/>
    <xf numFmtId="38" fontId="16" fillId="0" borderId="0" xfId="1" applyNumberFormat="1" applyFont="1"/>
    <xf numFmtId="165" fontId="7" fillId="0" borderId="0" xfId="0" applyNumberFormat="1" applyFont="1"/>
    <xf numFmtId="0" fontId="2" fillId="0" borderId="2" xfId="0" applyNumberFormat="1" applyFont="1" applyBorder="1"/>
    <xf numFmtId="38" fontId="16" fillId="0" borderId="2" xfId="1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3" fontId="1" fillId="0" borderId="0" xfId="1" applyNumberFormat="1" applyFont="1" applyAlignment="1">
      <alignment horizontal="right"/>
    </xf>
    <xf numFmtId="43" fontId="1" fillId="0" borderId="0" xfId="1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6" fillId="0" borderId="0" xfId="0" applyFont="1" applyProtection="1"/>
    <xf numFmtId="39" fontId="16" fillId="0" borderId="0" xfId="0" applyNumberFormat="1" applyFont="1" applyProtection="1"/>
    <xf numFmtId="0" fontId="5" fillId="0" borderId="0" xfId="0" applyFont="1" applyProtection="1"/>
    <xf numFmtId="0" fontId="5" fillId="8" borderId="3" xfId="0" applyFont="1" applyFill="1" applyBorder="1" applyAlignment="1" applyProtection="1">
      <alignment horizontal="center"/>
    </xf>
    <xf numFmtId="39" fontId="5" fillId="8" borderId="3" xfId="0" applyNumberFormat="1" applyFont="1" applyFill="1" applyBorder="1" applyAlignment="1" applyProtection="1">
      <alignment horizontal="center"/>
    </xf>
    <xf numFmtId="168" fontId="5" fillId="8" borderId="3" xfId="0" applyNumberFormat="1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0" fontId="5" fillId="9" borderId="5" xfId="0" applyFont="1" applyFill="1" applyBorder="1"/>
    <xf numFmtId="0" fontId="16" fillId="0" borderId="3" xfId="0" applyFont="1" applyBorder="1" applyProtection="1"/>
    <xf numFmtId="169" fontId="16" fillId="0" borderId="3" xfId="0" applyNumberFormat="1" applyFont="1" applyBorder="1" applyProtection="1"/>
    <xf numFmtId="169" fontId="16" fillId="0" borderId="4" xfId="0" applyNumberFormat="1" applyFont="1" applyBorder="1" applyProtection="1"/>
    <xf numFmtId="0" fontId="16" fillId="0" borderId="5" xfId="0" applyFont="1" applyBorder="1"/>
    <xf numFmtId="0" fontId="5" fillId="0" borderId="3" xfId="0" applyFont="1" applyBorder="1" applyProtection="1"/>
    <xf numFmtId="169" fontId="5" fillId="0" borderId="3" xfId="0" applyNumberFormat="1" applyFont="1" applyBorder="1" applyProtection="1"/>
    <xf numFmtId="169" fontId="5" fillId="0" borderId="4" xfId="0" applyNumberFormat="1" applyFont="1" applyBorder="1" applyProtection="1"/>
    <xf numFmtId="169" fontId="16" fillId="0" borderId="5" xfId="0" applyNumberFormat="1" applyFont="1" applyBorder="1"/>
    <xf numFmtId="0" fontId="2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right"/>
    </xf>
    <xf numFmtId="38" fontId="5" fillId="0" borderId="0" xfId="1" applyNumberFormat="1" applyFont="1"/>
    <xf numFmtId="38" fontId="5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7" fillId="0" borderId="0" xfId="0" applyNumberFormat="1" applyFont="1"/>
    <xf numFmtId="3" fontId="17" fillId="0" borderId="0" xfId="0" applyNumberFormat="1" applyFont="1" applyAlignment="1">
      <alignment horizontal="right"/>
    </xf>
    <xf numFmtId="0" fontId="18" fillId="0" borderId="0" xfId="0" applyNumberFormat="1" applyFont="1"/>
    <xf numFmtId="0" fontId="18" fillId="0" borderId="2" xfId="0" applyNumberFormat="1" applyFont="1" applyBorder="1"/>
    <xf numFmtId="3" fontId="18" fillId="0" borderId="2" xfId="0" applyNumberFormat="1" applyFont="1" applyBorder="1" applyAlignment="1">
      <alignment horizontal="right"/>
    </xf>
    <xf numFmtId="38" fontId="5" fillId="0" borderId="2" xfId="1" applyNumberFormat="1" applyFont="1" applyBorder="1"/>
    <xf numFmtId="3" fontId="18" fillId="0" borderId="0" xfId="0" applyNumberFormat="1" applyFont="1" applyAlignment="1">
      <alignment horizontal="right"/>
    </xf>
    <xf numFmtId="38" fontId="16" fillId="0" borderId="0" xfId="1" applyNumberFormat="1" applyFont="1" applyBorder="1"/>
    <xf numFmtId="2" fontId="5" fillId="4" borderId="0" xfId="0" applyNumberFormat="1" applyFont="1" applyFill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Alignment="1">
      <alignment horizontal="center"/>
    </xf>
    <xf numFmtId="2" fontId="5" fillId="6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9" fontId="16" fillId="6" borderId="0" xfId="0" applyNumberFormat="1" applyFont="1" applyFill="1" applyAlignment="1"/>
    <xf numFmtId="9" fontId="0" fillId="0" borderId="0" xfId="0" applyNumberFormat="1"/>
    <xf numFmtId="0" fontId="16" fillId="4" borderId="0" xfId="0" applyFont="1" applyFill="1"/>
    <xf numFmtId="0" fontId="16" fillId="6" borderId="0" xfId="0" applyFont="1" applyFill="1"/>
    <xf numFmtId="0" fontId="16" fillId="5" borderId="0" xfId="0" applyFont="1" applyFill="1"/>
    <xf numFmtId="0" fontId="16" fillId="7" borderId="0" xfId="0" applyFont="1" applyFill="1"/>
    <xf numFmtId="2" fontId="0" fillId="0" borderId="0" xfId="0" applyNumberFormat="1"/>
    <xf numFmtId="164" fontId="16" fillId="0" borderId="0" xfId="1" applyNumberFormat="1" applyFont="1"/>
    <xf numFmtId="38" fontId="5" fillId="0" borderId="0" xfId="1" applyNumberFormat="1" applyFont="1" applyBorder="1"/>
    <xf numFmtId="9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right"/>
    </xf>
    <xf numFmtId="0" fontId="2" fillId="0" borderId="0" xfId="0" applyNumberFormat="1" applyFont="1" applyBorder="1"/>
    <xf numFmtId="0" fontId="16" fillId="10" borderId="0" xfId="0" applyFont="1" applyFill="1"/>
    <xf numFmtId="0" fontId="0" fillId="10" borderId="0" xfId="0" applyFill="1"/>
    <xf numFmtId="3" fontId="0" fillId="10" borderId="0" xfId="0" applyNumberFormat="1" applyFill="1"/>
    <xf numFmtId="0" fontId="0" fillId="10" borderId="2" xfId="0" applyFill="1" applyBorder="1"/>
    <xf numFmtId="3" fontId="0" fillId="10" borderId="2" xfId="0" applyNumberFormat="1" applyFill="1" applyBorder="1"/>
    <xf numFmtId="0" fontId="0" fillId="10" borderId="0" xfId="0" applyFont="1" applyFill="1" applyAlignment="1">
      <alignment horizontal="left"/>
    </xf>
    <xf numFmtId="164" fontId="7" fillId="10" borderId="0" xfId="2" applyNumberFormat="1" applyFont="1" applyFill="1" applyAlignment="1">
      <alignment horizontal="center"/>
    </xf>
    <xf numFmtId="165" fontId="7" fillId="10" borderId="0" xfId="1" applyNumberFormat="1" applyFont="1" applyFill="1"/>
    <xf numFmtId="37" fontId="7" fillId="10" borderId="0" xfId="1" applyNumberFormat="1" applyFont="1" applyFill="1"/>
    <xf numFmtId="0" fontId="16" fillId="10" borderId="0" xfId="0" applyFont="1" applyFill="1" applyAlignment="1">
      <alignment horizontal="left"/>
    </xf>
    <xf numFmtId="0" fontId="5" fillId="10" borderId="0" xfId="0" applyFont="1" applyFill="1"/>
    <xf numFmtId="0" fontId="5" fillId="10" borderId="0" xfId="0" applyFont="1" applyFill="1" applyAlignment="1">
      <alignment wrapText="1"/>
    </xf>
    <xf numFmtId="43" fontId="7" fillId="10" borderId="0" xfId="1" applyFont="1" applyFill="1"/>
    <xf numFmtId="3" fontId="5" fillId="10" borderId="0" xfId="0" applyNumberFormat="1" applyFont="1" applyFill="1" applyAlignment="1">
      <alignment horizontal="right"/>
    </xf>
    <xf numFmtId="9" fontId="5" fillId="10" borderId="0" xfId="0" applyNumberFormat="1" applyFont="1" applyFill="1" applyAlignment="1">
      <alignment horizontal="right"/>
    </xf>
    <xf numFmtId="2" fontId="5" fillId="10" borderId="0" xfId="0" applyNumberFormat="1" applyFont="1" applyFill="1" applyAlignment="1">
      <alignment horizontal="center"/>
    </xf>
    <xf numFmtId="37" fontId="16" fillId="10" borderId="0" xfId="1" applyNumberFormat="1" applyFont="1" applyFill="1"/>
    <xf numFmtId="0" fontId="0" fillId="10" borderId="0" xfId="0" applyFill="1" applyAlignment="1">
      <alignment horizontal="center"/>
    </xf>
    <xf numFmtId="0" fontId="16" fillId="10" borderId="0" xfId="0" applyFont="1" applyFill="1" applyAlignment="1"/>
    <xf numFmtId="9" fontId="0" fillId="10" borderId="0" xfId="0" applyNumberFormat="1" applyFill="1" applyAlignment="1"/>
    <xf numFmtId="3" fontId="0" fillId="10" borderId="0" xfId="1" applyNumberFormat="1" applyFont="1" applyFill="1" applyAlignment="1">
      <alignment horizontal="right"/>
    </xf>
    <xf numFmtId="3" fontId="0" fillId="10" borderId="0" xfId="0" applyNumberFormat="1" applyFill="1" applyBorder="1" applyAlignment="1"/>
    <xf numFmtId="0" fontId="0" fillId="10" borderId="0" xfId="0" applyFill="1" applyAlignment="1"/>
    <xf numFmtId="43" fontId="5" fillId="0" borderId="1" xfId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0" fontId="5" fillId="11" borderId="0" xfId="0" applyFont="1" applyFill="1" applyAlignment="1"/>
    <xf numFmtId="0" fontId="7" fillId="11" borderId="0" xfId="0" applyFont="1" applyFill="1" applyAlignment="1">
      <alignment horizontal="left"/>
    </xf>
    <xf numFmtId="0" fontId="7" fillId="11" borderId="0" xfId="0" applyFont="1" applyFill="1" applyAlignment="1"/>
    <xf numFmtId="3" fontId="7" fillId="11" borderId="0" xfId="1" applyNumberFormat="1" applyFont="1" applyFill="1" applyAlignment="1">
      <alignment horizontal="right"/>
    </xf>
    <xf numFmtId="43" fontId="7" fillId="11" borderId="0" xfId="1" applyFont="1" applyFill="1" applyAlignment="1"/>
    <xf numFmtId="0" fontId="7" fillId="11" borderId="0" xfId="0" applyFont="1" applyFill="1" applyBorder="1" applyAlignment="1"/>
    <xf numFmtId="0" fontId="7" fillId="11" borderId="0" xfId="0" applyFont="1" applyFill="1" applyBorder="1"/>
    <xf numFmtId="0" fontId="16" fillId="11" borderId="0" xfId="0" applyFont="1" applyFill="1"/>
    <xf numFmtId="0" fontId="0" fillId="11" borderId="0" xfId="0" applyFill="1"/>
    <xf numFmtId="3" fontId="0" fillId="11" borderId="0" xfId="0" applyNumberFormat="1" applyFill="1"/>
    <xf numFmtId="0" fontId="16" fillId="11" borderId="2" xfId="0" applyFont="1" applyFill="1" applyBorder="1"/>
    <xf numFmtId="0" fontId="0" fillId="11" borderId="2" xfId="0" applyFill="1" applyBorder="1"/>
    <xf numFmtId="3" fontId="0" fillId="11" borderId="2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/>
  <colors>
    <mruColors>
      <color rgb="FFE9C783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boland/Local%20Settings/Temporary%20Internet%20Files/Content.Outlook/2PJENXND/SRP%20budget%20June%202010%20-%20May%202011%20June%2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Summary"/>
      <sheetName val="Summary Cash flow"/>
      <sheetName val="Summary budget"/>
      <sheetName val="SPEC Budget"/>
      <sheetName val="CD Budget"/>
      <sheetName val="Day budget"/>
      <sheetName val="Loans"/>
      <sheetName val="Other Grants"/>
      <sheetName val="CD Treatment Fees"/>
      <sheetName val="Day program fees"/>
      <sheetName val="Salary &amp; Wages"/>
      <sheetName val="Census"/>
      <sheetName val="Payroll Taxes"/>
      <sheetName val="Gramts &amp; Assist"/>
      <sheetName val="Day Program Expenses"/>
      <sheetName val="Occupancy"/>
      <sheetName val="Office Expenses"/>
      <sheetName val="Public Support"/>
      <sheetName val="Conf,Conv, Mtg"/>
      <sheetName val="Insurance"/>
      <sheetName val="blank"/>
      <sheetName val="Sheet2"/>
      <sheetName val="Sheet3"/>
      <sheetName val="Info Tech"/>
      <sheetName val="Contract Services"/>
      <sheetName val="Advertising"/>
      <sheetName val="FP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S7">
            <v>14</v>
          </cell>
        </row>
        <row r="8">
          <cell r="S8">
            <v>7.25</v>
          </cell>
        </row>
      </sheetData>
      <sheetData sheetId="9">
        <row r="7">
          <cell r="Q7">
            <v>8.6666666666666661</v>
          </cell>
        </row>
        <row r="8">
          <cell r="Q8">
            <v>3.5833333333333335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zoomScale="110" zoomScaleNormal="110" workbookViewId="0">
      <selection activeCell="D58" sqref="D58"/>
    </sheetView>
  </sheetViews>
  <sheetFormatPr defaultColWidth="8.85546875" defaultRowHeight="12.75" outlineLevelRow="1" outlineLevelCol="1" x14ac:dyDescent="0.2"/>
  <cols>
    <col min="1" max="2" width="2.7109375" style="2" customWidth="1"/>
    <col min="3" max="3" width="31.7109375" style="2" customWidth="1"/>
    <col min="4" max="4" width="10.85546875" style="226" hidden="1" customWidth="1" outlineLevel="1"/>
    <col min="5" max="5" width="11.140625" style="226" hidden="1" customWidth="1" outlineLevel="1"/>
    <col min="6" max="7" width="19.7109375" style="226" hidden="1" customWidth="1" outlineLevel="1"/>
    <col min="8" max="8" width="14.5703125" style="226" hidden="1" customWidth="1" outlineLevel="1"/>
    <col min="9" max="9" width="11.85546875" style="7" customWidth="1" collapsed="1"/>
    <col min="10" max="10" width="7.7109375" style="7" customWidth="1"/>
    <col min="11" max="11" width="8.7109375" style="7" hidden="1" customWidth="1" outlineLevel="1"/>
    <col min="12" max="12" width="4.7109375" style="7" hidden="1" customWidth="1" outlineLevel="1"/>
    <col min="13" max="15" width="8.7109375" style="7" hidden="1" customWidth="1" outlineLevel="1"/>
    <col min="16" max="16" width="8.7109375" style="7" bestFit="1" customWidth="1" collapsed="1"/>
    <col min="17" max="19" width="8.7109375" style="7" bestFit="1" customWidth="1"/>
    <col min="20" max="20" width="9.7109375" style="7" bestFit="1" customWidth="1"/>
  </cols>
  <sheetData>
    <row r="1" spans="1:20" ht="18" x14ac:dyDescent="0.25">
      <c r="A1" s="35" t="s">
        <v>156</v>
      </c>
      <c r="B1" s="36"/>
      <c r="C1" s="36"/>
      <c r="D1" s="224"/>
      <c r="E1" s="224"/>
      <c r="F1" s="224"/>
      <c r="G1" s="224"/>
      <c r="H1" s="224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8" customFormat="1" ht="18" x14ac:dyDescent="0.25">
      <c r="A2" s="11" t="s">
        <v>155</v>
      </c>
      <c r="B2" s="35"/>
      <c r="C2" s="35"/>
      <c r="D2" s="225"/>
      <c r="E2" s="225"/>
      <c r="F2" s="225"/>
      <c r="G2" s="225"/>
      <c r="H2" s="22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20" ht="12" customHeight="1" x14ac:dyDescent="0.2">
      <c r="A3" s="234"/>
      <c r="B3" s="234"/>
      <c r="C3" s="234"/>
      <c r="D3" s="260" t="str">
        <f>'Program 1'!A3</f>
        <v>Program 1</v>
      </c>
      <c r="E3" s="260" t="str">
        <f>'Program 2'!A3</f>
        <v>Program 2</v>
      </c>
      <c r="F3" s="260" t="str">
        <f>'Management &amp; General'!A3</f>
        <v>Management &amp; General</v>
      </c>
      <c r="G3" s="260" t="s">
        <v>158</v>
      </c>
      <c r="H3" s="260" t="str">
        <f>Fundraising!A3</f>
        <v>Fundraising</v>
      </c>
      <c r="I3" s="228" t="s">
        <v>8</v>
      </c>
      <c r="J3" s="198"/>
      <c r="K3" s="198" t="s">
        <v>162</v>
      </c>
      <c r="L3" s="198"/>
      <c r="M3" s="198" t="s">
        <v>163</v>
      </c>
      <c r="N3" s="198"/>
      <c r="O3" s="198"/>
      <c r="P3" s="198"/>
    </row>
    <row r="4" spans="1:20" ht="12" customHeight="1" x14ac:dyDescent="0.2">
      <c r="A4" s="234" t="s">
        <v>104</v>
      </c>
      <c r="B4" s="234"/>
      <c r="C4" s="234"/>
      <c r="D4" s="238"/>
      <c r="E4" s="238"/>
      <c r="F4" s="238"/>
      <c r="G4" s="238"/>
      <c r="H4" s="238"/>
      <c r="I4" s="198"/>
      <c r="J4" s="198"/>
      <c r="K4" s="198"/>
      <c r="L4" s="198"/>
      <c r="M4" s="198"/>
      <c r="N4" s="198"/>
      <c r="O4" s="198"/>
      <c r="P4" s="198"/>
    </row>
    <row r="5" spans="1:20" s="1" customFormat="1" ht="12" customHeight="1" x14ac:dyDescent="0.2">
      <c r="A5" s="234"/>
      <c r="B5" s="234" t="s">
        <v>88</v>
      </c>
      <c r="C5" s="234"/>
      <c r="D5" s="238"/>
      <c r="E5" s="233"/>
      <c r="F5" s="233"/>
      <c r="G5" s="233"/>
      <c r="H5" s="233"/>
      <c r="I5" s="198"/>
      <c r="J5" s="198"/>
      <c r="K5" s="198"/>
      <c r="L5" s="198"/>
      <c r="M5" s="198"/>
      <c r="N5" s="198"/>
      <c r="O5" s="198"/>
      <c r="P5" s="198"/>
      <c r="Q5" s="7"/>
      <c r="R5" s="7"/>
      <c r="S5" s="7"/>
      <c r="T5" s="7"/>
    </row>
    <row r="6" spans="1:20" ht="12" customHeight="1" x14ac:dyDescent="0.2">
      <c r="A6" s="234"/>
      <c r="B6" s="234"/>
      <c r="C6" s="232" t="s">
        <v>90</v>
      </c>
      <c r="D6" s="233"/>
      <c r="E6" s="233"/>
      <c r="F6" s="233"/>
      <c r="G6" s="233"/>
      <c r="H6" s="233">
        <f>Fundraising!Q21+Fundraising!Q22</f>
        <v>53750</v>
      </c>
      <c r="I6" s="239">
        <f t="shared" ref="I6:I13" si="0">SUM(D6:H6)</f>
        <v>53750</v>
      </c>
      <c r="J6" s="198"/>
      <c r="K6" s="198">
        <v>75000</v>
      </c>
      <c r="L6" s="198"/>
      <c r="M6" s="198">
        <v>50278</v>
      </c>
      <c r="N6" s="198"/>
      <c r="O6" s="198"/>
      <c r="P6" s="198"/>
    </row>
    <row r="7" spans="1:20" ht="12" customHeight="1" x14ac:dyDescent="0.2">
      <c r="A7" s="234"/>
      <c r="B7" s="234"/>
      <c r="C7" s="232" t="s">
        <v>84</v>
      </c>
      <c r="D7" s="233">
        <f>'Program 1'!Q23+'Program 1'!Q24</f>
        <v>80000</v>
      </c>
      <c r="E7" s="233">
        <f>'Program 2'!Q24+'Program 2'!Q25</f>
        <v>50000</v>
      </c>
      <c r="F7" s="233"/>
      <c r="G7" s="233"/>
      <c r="H7" s="233">
        <f>Fundraising!Q17+Fundraising!Q18+Fundraising!Q19</f>
        <v>147000</v>
      </c>
      <c r="I7" s="239">
        <f t="shared" si="0"/>
        <v>277000</v>
      </c>
      <c r="J7" s="198"/>
      <c r="K7" s="198">
        <v>285000</v>
      </c>
      <c r="L7" s="198"/>
      <c r="M7" s="198">
        <v>255000</v>
      </c>
      <c r="N7" s="198"/>
      <c r="O7" s="198"/>
      <c r="P7" s="198"/>
    </row>
    <row r="8" spans="1:20" ht="12" customHeight="1" x14ac:dyDescent="0.2">
      <c r="A8" s="234"/>
      <c r="B8" s="234"/>
      <c r="C8" s="232" t="s">
        <v>108</v>
      </c>
      <c r="D8" s="233"/>
      <c r="E8" s="233"/>
      <c r="F8" s="233">
        <v>10000</v>
      </c>
      <c r="G8" s="233"/>
      <c r="H8" s="233"/>
      <c r="I8" s="239">
        <f>SUM(D8:H8)</f>
        <v>10000</v>
      </c>
      <c r="J8" s="198"/>
      <c r="K8" s="198">
        <v>0</v>
      </c>
      <c r="L8" s="198"/>
      <c r="M8" s="198">
        <v>0</v>
      </c>
      <c r="N8" s="198"/>
      <c r="O8" s="198"/>
      <c r="P8" s="198"/>
    </row>
    <row r="9" spans="1:20" ht="12" customHeight="1" x14ac:dyDescent="0.2">
      <c r="A9" s="234"/>
      <c r="B9" s="234" t="s">
        <v>105</v>
      </c>
      <c r="C9" s="234"/>
      <c r="D9" s="238"/>
      <c r="E9" s="233"/>
      <c r="F9" s="233"/>
      <c r="G9" s="233"/>
      <c r="H9" s="233"/>
      <c r="I9" s="239"/>
      <c r="J9" s="198"/>
      <c r="K9" s="198"/>
      <c r="L9" s="198"/>
      <c r="M9" s="198"/>
      <c r="N9" s="198"/>
      <c r="O9" s="198"/>
      <c r="P9" s="198"/>
    </row>
    <row r="10" spans="1:20" ht="12" customHeight="1" x14ac:dyDescent="0.2">
      <c r="A10" s="234"/>
      <c r="B10" s="234"/>
      <c r="C10" s="232" t="s">
        <v>106</v>
      </c>
      <c r="D10" s="233">
        <f>'Program 1'!Q21</f>
        <v>10800</v>
      </c>
      <c r="E10" s="233">
        <f>'Program 2'!Q22</f>
        <v>9550</v>
      </c>
      <c r="F10" s="233"/>
      <c r="G10" s="233"/>
      <c r="H10" s="233"/>
      <c r="I10" s="239">
        <f t="shared" si="0"/>
        <v>20350</v>
      </c>
      <c r="J10" s="198"/>
      <c r="K10" s="198">
        <v>15000</v>
      </c>
      <c r="L10" s="198"/>
      <c r="M10" s="198">
        <v>22541</v>
      </c>
      <c r="N10" s="198"/>
      <c r="O10" s="198"/>
      <c r="P10" s="198"/>
    </row>
    <row r="11" spans="1:20" ht="12" customHeight="1" x14ac:dyDescent="0.2">
      <c r="A11" s="234"/>
      <c r="B11" s="234"/>
      <c r="C11" s="232" t="s">
        <v>107</v>
      </c>
      <c r="D11" s="233">
        <f>'Program 1'!Q26+'Program 1'!Q27</f>
        <v>108000</v>
      </c>
      <c r="E11" s="233">
        <f>'Program 2'!Q27+'Program 2'!Q28+'Program 2'!Q29</f>
        <v>51250</v>
      </c>
      <c r="F11" s="233"/>
      <c r="G11" s="233"/>
      <c r="H11" s="233"/>
      <c r="I11" s="239">
        <f t="shared" si="0"/>
        <v>159250</v>
      </c>
      <c r="J11" s="198"/>
      <c r="K11" s="198">
        <v>150000</v>
      </c>
      <c r="L11" s="198"/>
      <c r="M11" s="198">
        <v>162000</v>
      </c>
      <c r="N11" s="198"/>
      <c r="O11" s="198"/>
      <c r="P11" s="198"/>
    </row>
    <row r="12" spans="1:20" ht="12" customHeight="1" x14ac:dyDescent="0.2">
      <c r="A12" s="234"/>
      <c r="B12" s="234"/>
      <c r="C12" s="232" t="s">
        <v>101</v>
      </c>
      <c r="D12" s="233"/>
      <c r="E12" s="233"/>
      <c r="F12" s="233">
        <f>'Management &amp; General'!Q20</f>
        <v>600</v>
      </c>
      <c r="G12" s="233"/>
      <c r="H12" s="233"/>
      <c r="I12" s="239">
        <f t="shared" si="0"/>
        <v>600</v>
      </c>
      <c r="J12" s="198"/>
      <c r="K12" s="198">
        <v>1200</v>
      </c>
      <c r="L12" s="198"/>
      <c r="M12" s="198">
        <v>823</v>
      </c>
      <c r="N12" s="198"/>
      <c r="O12" s="198"/>
      <c r="P12" s="198"/>
    </row>
    <row r="13" spans="1:20" ht="12" customHeight="1" x14ac:dyDescent="0.2">
      <c r="A13" s="234"/>
      <c r="B13" s="234"/>
      <c r="C13" s="232" t="s">
        <v>89</v>
      </c>
      <c r="D13" s="233"/>
      <c r="E13" s="233"/>
      <c r="F13" s="233"/>
      <c r="G13" s="233"/>
      <c r="H13" s="233">
        <f>Fundraising!Q24</f>
        <v>45000</v>
      </c>
      <c r="I13" s="239">
        <f t="shared" si="0"/>
        <v>45000</v>
      </c>
      <c r="J13" s="198"/>
      <c r="K13" s="198">
        <v>58000</v>
      </c>
      <c r="L13" s="198"/>
      <c r="M13" s="198">
        <v>42590</v>
      </c>
      <c r="N13" s="198"/>
      <c r="O13" s="198"/>
      <c r="P13" s="198"/>
    </row>
    <row r="14" spans="1:20" ht="12" customHeight="1" x14ac:dyDescent="0.2">
      <c r="A14" s="234"/>
      <c r="B14" s="234"/>
      <c r="C14" s="232"/>
      <c r="D14" s="233"/>
      <c r="E14" s="233"/>
      <c r="F14" s="233"/>
      <c r="G14" s="233"/>
      <c r="H14" s="233"/>
      <c r="I14" s="257"/>
      <c r="J14" s="198"/>
      <c r="K14" s="198"/>
      <c r="L14" s="198"/>
      <c r="M14" s="198"/>
      <c r="N14" s="198"/>
      <c r="O14" s="198"/>
      <c r="P14" s="198"/>
    </row>
    <row r="15" spans="1:20" ht="12" customHeight="1" thickBot="1" x14ac:dyDescent="0.25">
      <c r="A15" s="235" t="s">
        <v>8</v>
      </c>
      <c r="B15" s="235"/>
      <c r="C15" s="235"/>
      <c r="D15" s="236">
        <f>SUM(D6:D14)</f>
        <v>198800</v>
      </c>
      <c r="E15" s="236">
        <f>SUM(E6:E14)</f>
        <v>110800</v>
      </c>
      <c r="F15" s="236">
        <f>SUM(F6:F14)</f>
        <v>10600</v>
      </c>
      <c r="G15" s="236">
        <v>0</v>
      </c>
      <c r="H15" s="236">
        <f>SUM(H6:H14)</f>
        <v>245750</v>
      </c>
      <c r="I15" s="237">
        <f>SUM(D15:H15)</f>
        <v>565950</v>
      </c>
      <c r="J15" s="227"/>
      <c r="K15" s="237">
        <f>SUM(K6:K14)</f>
        <v>584200</v>
      </c>
      <c r="L15" s="227"/>
      <c r="M15" s="237">
        <f>SUM(M6:M13)</f>
        <v>533232</v>
      </c>
      <c r="N15" s="198"/>
      <c r="O15" s="198"/>
      <c r="P15" s="198"/>
    </row>
    <row r="16" spans="1:20" ht="12" customHeight="1" x14ac:dyDescent="0.2">
      <c r="A16" s="234"/>
      <c r="B16" s="234"/>
      <c r="C16" s="234"/>
      <c r="D16" s="238"/>
      <c r="E16" s="238"/>
      <c r="F16" s="238"/>
      <c r="G16" s="238"/>
      <c r="H16" s="238"/>
      <c r="I16" s="198"/>
      <c r="J16" s="198"/>
      <c r="K16" s="198"/>
      <c r="L16" s="198"/>
      <c r="M16" s="198"/>
      <c r="N16" s="198"/>
      <c r="O16" s="198"/>
      <c r="P16" s="198"/>
    </row>
    <row r="17" spans="1:16" ht="12" customHeight="1" x14ac:dyDescent="0.2">
      <c r="A17" s="234" t="s">
        <v>79</v>
      </c>
      <c r="B17" s="234"/>
      <c r="C17" s="234"/>
      <c r="D17" s="238"/>
      <c r="E17" s="238"/>
      <c r="F17" s="238"/>
      <c r="G17" s="238"/>
      <c r="H17" s="238"/>
      <c r="I17" s="198"/>
      <c r="J17" s="198"/>
      <c r="K17" s="198"/>
      <c r="L17" s="198"/>
      <c r="M17" s="198"/>
      <c r="N17" s="198"/>
      <c r="O17" s="198"/>
      <c r="P17" s="198"/>
    </row>
    <row r="18" spans="1:16" ht="12" customHeight="1" x14ac:dyDescent="0.2">
      <c r="B18" s="2" t="s">
        <v>110</v>
      </c>
      <c r="C18" s="261"/>
      <c r="D18" s="233">
        <f>SUM(D19:D24)</f>
        <v>152357.208125</v>
      </c>
      <c r="E18" s="233">
        <f>SUM(E19:E24)</f>
        <v>122884.00874999999</v>
      </c>
      <c r="F18" s="233">
        <f>SUM(F19:F24)</f>
        <v>53294.36</v>
      </c>
      <c r="G18" s="233">
        <f>SUM(G19:G24)</f>
        <v>34932</v>
      </c>
      <c r="H18" s="233">
        <f>SUM(H19:H24)</f>
        <v>68501.923125000001</v>
      </c>
      <c r="I18" s="198">
        <f>SUM(D18:H18)</f>
        <v>431969.5</v>
      </c>
      <c r="J18" s="198"/>
      <c r="K18" s="198">
        <v>450600</v>
      </c>
      <c r="L18" s="198"/>
      <c r="M18" s="198">
        <v>415628</v>
      </c>
    </row>
    <row r="19" spans="1:16" ht="12" hidden="1" customHeight="1" outlineLevel="1" x14ac:dyDescent="0.2">
      <c r="C19" s="232" t="str">
        <f>Personnel!A136</f>
        <v>Total Salary Costs</v>
      </c>
      <c r="D19" s="233">
        <f>Personnel!C136*Personnel!$E$129</f>
        <v>126267.89740652985</v>
      </c>
      <c r="E19" s="233">
        <f>Personnel!C136*Personnel!$E$130</f>
        <v>101841.62338428987</v>
      </c>
      <c r="F19" s="233">
        <f>Personnel!C136*Personnel!$E$131</f>
        <v>44168.351885954908</v>
      </c>
      <c r="G19" s="233">
        <f>Personnel!C136*Personnel!$E$132</f>
        <v>28950.321724103207</v>
      </c>
      <c r="H19" s="233">
        <f>Personnel!C136*Personnel!$E$133</f>
        <v>56771.805599122163</v>
      </c>
      <c r="I19" s="198">
        <f t="shared" ref="I19:I23" si="1">SUM(D19:H19)</f>
        <v>358000</v>
      </c>
      <c r="J19" s="198"/>
      <c r="K19" s="198"/>
      <c r="L19" s="198"/>
      <c r="M19" s="198"/>
    </row>
    <row r="20" spans="1:16" ht="12" hidden="1" customHeight="1" outlineLevel="1" x14ac:dyDescent="0.2">
      <c r="C20" s="232" t="str">
        <f>Personnel!A137</f>
        <v>Total FICA</v>
      </c>
      <c r="D20" s="233">
        <f>Personnel!C137*Personnel!$E$129</f>
        <v>9659.4941515995342</v>
      </c>
      <c r="E20" s="233">
        <f>Personnel!C137*Personnel!$E$130</f>
        <v>7790.8841888981751</v>
      </c>
      <c r="F20" s="233">
        <f>Personnel!C137*Personnel!$E$131</f>
        <v>3378.8789192755507</v>
      </c>
      <c r="G20" s="233">
        <f>Personnel!C137*Personnel!$E$132</f>
        <v>2214.6996118938955</v>
      </c>
      <c r="H20" s="233">
        <f>Personnel!C137*Personnel!$E$133</f>
        <v>4343.0431283328453</v>
      </c>
      <c r="I20" s="198">
        <f t="shared" si="1"/>
        <v>27387</v>
      </c>
      <c r="J20" s="198"/>
      <c r="K20" s="198"/>
      <c r="L20" s="198"/>
      <c r="M20" s="198"/>
    </row>
    <row r="21" spans="1:16" ht="12" hidden="1" customHeight="1" outlineLevel="1" x14ac:dyDescent="0.2">
      <c r="C21" s="232" t="str">
        <f>Personnel!A138</f>
        <v>Total Unemployment</v>
      </c>
      <c r="D21" s="233">
        <f>Personnel!C138*Personnel!$E$129</f>
        <v>1499.872161232593</v>
      </c>
      <c r="E21" s="233">
        <f>Personnel!C138*Personnel!$E$130</f>
        <v>1209.7248699488625</v>
      </c>
      <c r="F21" s="233">
        <f>Personnel!C138*Personnel!$E$131</f>
        <v>524.65339775146174</v>
      </c>
      <c r="G21" s="233">
        <f>Personnel!C138*Personnel!$E$132</f>
        <v>343.88615399929864</v>
      </c>
      <c r="H21" s="233">
        <f>Personnel!C138*Personnel!$E$133</f>
        <v>674.36341706778501</v>
      </c>
      <c r="I21" s="198">
        <f t="shared" si="1"/>
        <v>4252.5000000000009</v>
      </c>
      <c r="J21" s="198"/>
      <c r="K21" s="198"/>
      <c r="L21" s="198"/>
      <c r="M21" s="198"/>
    </row>
    <row r="22" spans="1:16" ht="12" hidden="1" customHeight="1" outlineLevel="1" x14ac:dyDescent="0.2">
      <c r="C22" s="232" t="str">
        <f>Personnel!A139</f>
        <v>Total Workers Comp</v>
      </c>
      <c r="D22" s="233">
        <f>Personnel!C139*Personnel!$E$129</f>
        <v>761.83982792766619</v>
      </c>
      <c r="E22" s="233">
        <f>Personnel!C139*Personnel!$E$130</f>
        <v>614.46342600577123</v>
      </c>
      <c r="F22" s="233">
        <f>Personnel!C139*Personnel!$E$131</f>
        <v>266.49061473090114</v>
      </c>
      <c r="G22" s="233">
        <f>Personnel!C139*Personnel!$E$132</f>
        <v>174.6723321901199</v>
      </c>
      <c r="H22" s="233">
        <f>Personnel!C139*Personnel!$E$133</f>
        <v>342.53379914554154</v>
      </c>
      <c r="I22" s="198">
        <f t="shared" si="1"/>
        <v>2160</v>
      </c>
      <c r="J22" s="198"/>
      <c r="K22" s="198"/>
      <c r="L22" s="198"/>
      <c r="M22" s="198"/>
    </row>
    <row r="23" spans="1:16" ht="12" hidden="1" customHeight="1" outlineLevel="1" x14ac:dyDescent="0.2">
      <c r="C23" s="232" t="str">
        <f>Personnel!A140</f>
        <v>Total Health Care</v>
      </c>
      <c r="D23" s="233">
        <f>Personnel!C140*Personnel!$E$129</f>
        <v>12147.112811957788</v>
      </c>
      <c r="E23" s="233">
        <f>Personnel!C140*Personnel!$E$130</f>
        <v>9797.27795909202</v>
      </c>
      <c r="F23" s="233">
        <f>Personnel!C140*Personnel!$E$131</f>
        <v>4249.044801542701</v>
      </c>
      <c r="G23" s="233">
        <f>Personnel!C140*Personnel!$E$132</f>
        <v>2785.053296586912</v>
      </c>
      <c r="H23" s="233">
        <f>Personnel!C140*Personnel!$E$133</f>
        <v>5461.5111308205787</v>
      </c>
      <c r="I23" s="198">
        <f t="shared" si="1"/>
        <v>34440.000000000007</v>
      </c>
      <c r="J23" s="198"/>
      <c r="K23" s="198"/>
      <c r="L23" s="198"/>
      <c r="M23" s="198"/>
    </row>
    <row r="24" spans="1:16" ht="12" hidden="1" customHeight="1" outlineLevel="1" x14ac:dyDescent="0.2">
      <c r="C24" s="232" t="str">
        <f>Personnel!A141</f>
        <v>Total Retirement</v>
      </c>
      <c r="D24" s="233">
        <f>Personnel!C141*Personnel!$E$129</f>
        <v>2020.9917657525589</v>
      </c>
      <c r="E24" s="233">
        <f>Personnel!C141*Personnel!$E$130</f>
        <v>1630.0349217653099</v>
      </c>
      <c r="F24" s="233">
        <f>Personnel!C141*Personnel!$E$131</f>
        <v>706.94038074447383</v>
      </c>
      <c r="G24" s="233">
        <f>Personnel!C141*Personnel!$E$132</f>
        <v>463.36688122656807</v>
      </c>
      <c r="H24" s="233">
        <f>Personnel!C141*Personnel!$E$133</f>
        <v>908.66605051108934</v>
      </c>
      <c r="I24" s="198">
        <f>SUM(D24:H24)</f>
        <v>5730</v>
      </c>
      <c r="J24" s="198"/>
      <c r="K24" s="198"/>
      <c r="L24" s="198"/>
      <c r="M24" s="198"/>
    </row>
    <row r="25" spans="1:16" ht="12" customHeight="1" collapsed="1" x14ac:dyDescent="0.2">
      <c r="B25" s="2" t="s">
        <v>44</v>
      </c>
      <c r="D25" s="233">
        <f>SUM(D26:D36)</f>
        <v>28795.418181818182</v>
      </c>
      <c r="E25" s="233">
        <f t="shared" ref="E25:H25" si="2">SUM(E26:E36)</f>
        <v>9598.4727272727287</v>
      </c>
      <c r="F25" s="233">
        <f t="shared" si="2"/>
        <v>3999.3636363636365</v>
      </c>
      <c r="G25" s="233">
        <f t="shared" si="2"/>
        <v>799.87272727272716</v>
      </c>
      <c r="H25" s="233">
        <f t="shared" si="2"/>
        <v>799.87272727272716</v>
      </c>
      <c r="I25" s="198">
        <f>SUM(D25:H25)</f>
        <v>43993.000000000007</v>
      </c>
      <c r="J25" s="198"/>
      <c r="K25" s="198">
        <v>42000</v>
      </c>
      <c r="L25" s="198"/>
      <c r="M25" s="198">
        <v>43057</v>
      </c>
    </row>
    <row r="26" spans="1:16" ht="12" hidden="1" customHeight="1" outlineLevel="1" x14ac:dyDescent="0.2">
      <c r="C26" s="111" t="str">
        <f>Occupancy!B8</f>
        <v>Lease</v>
      </c>
      <c r="D26" s="230">
        <f>Occupancy!R8*Occupancy!$E$20</f>
        <v>12043.636363636364</v>
      </c>
      <c r="E26" s="230">
        <f>Occupancy!R8*Occupancy!$E$21</f>
        <v>4014.5454545454545</v>
      </c>
      <c r="F26" s="230">
        <f>Occupancy!R8*Occupancy!$E$22</f>
        <v>1672.7272727272727</v>
      </c>
      <c r="G26" s="230">
        <f>Occupancy!R8*Occupancy!$E$23</f>
        <v>334.5454545454545</v>
      </c>
      <c r="H26" s="230">
        <f>Occupancy!R8*Occupancy!$E$24</f>
        <v>334.5454545454545</v>
      </c>
      <c r="I26" s="198">
        <f>SUM(D26:H26)</f>
        <v>18400.000000000004</v>
      </c>
      <c r="J26" s="198"/>
      <c r="K26" s="198"/>
      <c r="L26" s="198"/>
      <c r="M26" s="198"/>
    </row>
    <row r="27" spans="1:16" ht="12" hidden="1" customHeight="1" outlineLevel="1" x14ac:dyDescent="0.2">
      <c r="C27" s="111" t="str">
        <f>Occupancy!B9</f>
        <v>Leasehold improvements</v>
      </c>
      <c r="D27" s="230">
        <f>Occupancy!R9*Occupancy!$E$20</f>
        <v>1767.2727272727273</v>
      </c>
      <c r="E27" s="230">
        <f>Occupancy!R9*Occupancy!$E$21</f>
        <v>589.09090909090901</v>
      </c>
      <c r="F27" s="230">
        <f>Occupancy!R9*Occupancy!$E$22</f>
        <v>245.45454545454547</v>
      </c>
      <c r="G27" s="230">
        <f>Occupancy!R9*Occupancy!$E$23</f>
        <v>49.090909090909086</v>
      </c>
      <c r="H27" s="230">
        <f>Occupancy!R9*Occupancy!$E$24</f>
        <v>49.090909090909086</v>
      </c>
      <c r="I27" s="198">
        <f t="shared" ref="I27:I36" si="3">SUM(D27:H27)</f>
        <v>2699.9999999999995</v>
      </c>
      <c r="J27" s="198"/>
      <c r="K27" s="198"/>
      <c r="L27" s="198"/>
      <c r="M27" s="198"/>
    </row>
    <row r="28" spans="1:16" ht="12" hidden="1" customHeight="1" outlineLevel="1" x14ac:dyDescent="0.2">
      <c r="C28" s="111" t="str">
        <f>Occupancy!B10</f>
        <v>Depreciation</v>
      </c>
      <c r="D28" s="230">
        <f>Occupancy!R10*Occupancy!$E$20</f>
        <v>589.09090909090912</v>
      </c>
      <c r="E28" s="230">
        <f>Occupancy!R10*Occupancy!$E$21</f>
        <v>196.36363636363635</v>
      </c>
      <c r="F28" s="230">
        <f>Occupancy!R10*Occupancy!$E$22</f>
        <v>81.818181818181827</v>
      </c>
      <c r="G28" s="230">
        <f>Occupancy!R10*Occupancy!$E$23</f>
        <v>16.363636363636363</v>
      </c>
      <c r="H28" s="230">
        <f>Occupancy!R10*Occupancy!$E$24</f>
        <v>16.363636363636363</v>
      </c>
      <c r="I28" s="198">
        <f t="shared" si="3"/>
        <v>900.00000000000011</v>
      </c>
      <c r="J28" s="198"/>
      <c r="K28" s="198"/>
      <c r="L28" s="198"/>
      <c r="M28" s="198"/>
    </row>
    <row r="29" spans="1:16" ht="12" hidden="1" customHeight="1" outlineLevel="1" x14ac:dyDescent="0.2">
      <c r="C29" s="111" t="str">
        <f>Occupancy!B11</f>
        <v>Common Area Maintence</v>
      </c>
      <c r="D29" s="230">
        <f>Occupancy!R11*Occupancy!$E$20</f>
        <v>4025.4545454545455</v>
      </c>
      <c r="E29" s="230">
        <f>Occupancy!R11*Occupancy!$E$21</f>
        <v>1341.8181818181818</v>
      </c>
      <c r="F29" s="230">
        <f>Occupancy!R11*Occupancy!$E$22</f>
        <v>559.09090909090912</v>
      </c>
      <c r="G29" s="230">
        <f>Occupancy!R11*Occupancy!$E$23</f>
        <v>111.81818181818181</v>
      </c>
      <c r="H29" s="230">
        <f>Occupancy!R11*Occupancy!$E$24</f>
        <v>111.81818181818181</v>
      </c>
      <c r="I29" s="198">
        <f t="shared" si="3"/>
        <v>6150</v>
      </c>
      <c r="J29" s="198"/>
      <c r="K29" s="198"/>
      <c r="L29" s="198"/>
      <c r="M29" s="198"/>
    </row>
    <row r="30" spans="1:16" ht="12" hidden="1" customHeight="1" outlineLevel="1" x14ac:dyDescent="0.2">
      <c r="C30" s="111" t="str">
        <f>Occupancy!B12</f>
        <v>Electric</v>
      </c>
      <c r="D30" s="230">
        <f>Occupancy!R12*Occupancy!$E$20</f>
        <v>2585.4545454545455</v>
      </c>
      <c r="E30" s="230">
        <f>Occupancy!R12*Occupancy!$E$21</f>
        <v>861.81818181818176</v>
      </c>
      <c r="F30" s="230">
        <f>Occupancy!R12*Occupancy!$E$22</f>
        <v>359.09090909090912</v>
      </c>
      <c r="G30" s="230">
        <f>Occupancy!R12*Occupancy!$E$23</f>
        <v>71.818181818181813</v>
      </c>
      <c r="H30" s="230">
        <f>Occupancy!R12*Occupancy!$E$24</f>
        <v>71.818181818181813</v>
      </c>
      <c r="I30" s="198">
        <f t="shared" si="3"/>
        <v>3950</v>
      </c>
      <c r="J30" s="198"/>
      <c r="K30" s="198"/>
      <c r="L30" s="198"/>
      <c r="M30" s="198"/>
    </row>
    <row r="31" spans="1:16" ht="12" hidden="1" customHeight="1" outlineLevel="1" x14ac:dyDescent="0.2">
      <c r="C31" s="111" t="str">
        <f>Occupancy!B13</f>
        <v>Insurance</v>
      </c>
      <c r="D31" s="230">
        <f>Occupancy!R13*Occupancy!$E$20</f>
        <v>981.81818181818176</v>
      </c>
      <c r="E31" s="230">
        <f>Occupancy!R13*Occupancy!$E$21</f>
        <v>327.27272727272725</v>
      </c>
      <c r="F31" s="230">
        <f>Occupancy!R13*Occupancy!$E$22</f>
        <v>136.36363636363637</v>
      </c>
      <c r="G31" s="230">
        <f>Occupancy!R13*Occupancy!$E$23</f>
        <v>27.27272727272727</v>
      </c>
      <c r="H31" s="230">
        <f>Occupancy!R13*Occupancy!$E$24</f>
        <v>27.27272727272727</v>
      </c>
      <c r="I31" s="198">
        <f t="shared" si="3"/>
        <v>1500</v>
      </c>
      <c r="J31" s="198"/>
      <c r="K31" s="198"/>
      <c r="L31" s="198"/>
      <c r="M31" s="198"/>
    </row>
    <row r="32" spans="1:16" ht="12" hidden="1" customHeight="1" outlineLevel="1" x14ac:dyDescent="0.2">
      <c r="C32" s="111" t="str">
        <f>Occupancy!B14</f>
        <v>Gas</v>
      </c>
      <c r="D32" s="230">
        <f>Occupancy!R14*Occupancy!$E$20</f>
        <v>2700</v>
      </c>
      <c r="E32" s="230">
        <f>Occupancy!R14*Occupancy!$E$21</f>
        <v>900</v>
      </c>
      <c r="F32" s="230">
        <f>Occupancy!R14*Occupancy!$E$22</f>
        <v>375</v>
      </c>
      <c r="G32" s="230">
        <f>Occupancy!R14*Occupancy!$E$23</f>
        <v>75</v>
      </c>
      <c r="H32" s="230">
        <f>Occupancy!R14*Occupancy!$E$24</f>
        <v>75</v>
      </c>
      <c r="I32" s="198">
        <f t="shared" si="3"/>
        <v>4125</v>
      </c>
      <c r="J32" s="198"/>
      <c r="K32" s="198"/>
      <c r="L32" s="198"/>
      <c r="M32" s="198"/>
    </row>
    <row r="33" spans="2:13" ht="12" hidden="1" customHeight="1" outlineLevel="1" x14ac:dyDescent="0.2">
      <c r="C33" s="111" t="str">
        <f>Occupancy!B15</f>
        <v>Trash service</v>
      </c>
      <c r="D33" s="230">
        <f>Occupancy!R15*Occupancy!$E$20</f>
        <v>589.09090909090912</v>
      </c>
      <c r="E33" s="230">
        <f>Occupancy!R15*Occupancy!$E$21</f>
        <v>196.36363636363635</v>
      </c>
      <c r="F33" s="230">
        <f>Occupancy!R15*Occupancy!$E$22</f>
        <v>81.818181818181827</v>
      </c>
      <c r="G33" s="230">
        <f>Occupancy!R15*Occupancy!$E$23</f>
        <v>16.363636363636363</v>
      </c>
      <c r="H33" s="230">
        <f>Occupancy!R15*Occupancy!$E$24</f>
        <v>16.363636363636363</v>
      </c>
      <c r="I33" s="198">
        <f t="shared" si="3"/>
        <v>900.00000000000011</v>
      </c>
      <c r="J33" s="198"/>
      <c r="K33" s="198"/>
      <c r="L33" s="198"/>
      <c r="M33" s="198"/>
    </row>
    <row r="34" spans="2:13" ht="12" hidden="1" customHeight="1" outlineLevel="1" x14ac:dyDescent="0.2">
      <c r="C34" s="111" t="str">
        <f>Occupancy!B16</f>
        <v>Janitorial Service</v>
      </c>
      <c r="D34" s="230">
        <f>Occupancy!R16*Occupancy!$E$20</f>
        <v>1963.6363636363635</v>
      </c>
      <c r="E34" s="230">
        <f>Occupancy!R16*Occupancy!$E$21</f>
        <v>654.5454545454545</v>
      </c>
      <c r="F34" s="230">
        <f>Occupancy!R16*Occupancy!$E$22</f>
        <v>272.72727272727275</v>
      </c>
      <c r="G34" s="230">
        <f>Occupancy!R16*Occupancy!$E$23</f>
        <v>54.54545454545454</v>
      </c>
      <c r="H34" s="230">
        <f>Occupancy!R16*Occupancy!$E$24</f>
        <v>54.54545454545454</v>
      </c>
      <c r="I34" s="198">
        <f t="shared" si="3"/>
        <v>3000</v>
      </c>
      <c r="J34" s="198"/>
      <c r="K34" s="198"/>
      <c r="L34" s="198"/>
      <c r="M34" s="198"/>
    </row>
    <row r="35" spans="2:13" ht="12" hidden="1" customHeight="1" outlineLevel="1" x14ac:dyDescent="0.2">
      <c r="C35" s="111" t="str">
        <f>Occupancy!B17</f>
        <v>Security Service</v>
      </c>
      <c r="D35" s="230">
        <f>Occupancy!R17*Occupancy!$E$20</f>
        <v>502.69090909090909</v>
      </c>
      <c r="E35" s="230">
        <f>Occupancy!R17*Occupancy!$E$21</f>
        <v>167.56363636363636</v>
      </c>
      <c r="F35" s="230">
        <f>Occupancy!R17*Occupancy!$E$22</f>
        <v>69.818181818181813</v>
      </c>
      <c r="G35" s="230">
        <f>Occupancy!R17*Occupancy!$E$23</f>
        <v>13.963636363636363</v>
      </c>
      <c r="H35" s="230">
        <f>Occupancy!R17*Occupancy!$E$24</f>
        <v>13.963636363636363</v>
      </c>
      <c r="I35" s="198">
        <f t="shared" si="3"/>
        <v>768</v>
      </c>
      <c r="J35" s="198"/>
      <c r="K35" s="198"/>
      <c r="L35" s="198"/>
      <c r="M35" s="198"/>
    </row>
    <row r="36" spans="2:13" ht="12" hidden="1" customHeight="1" outlineLevel="1" x14ac:dyDescent="0.2">
      <c r="C36" s="111" t="str">
        <f>Occupancy!B18</f>
        <v>Snow removal</v>
      </c>
      <c r="D36" s="230">
        <f>Occupancy!R18*Occupancy!$E$20</f>
        <v>1047.2727272727273</v>
      </c>
      <c r="E36" s="230">
        <f>Occupancy!R18*Occupancy!$E$21</f>
        <v>349.09090909090907</v>
      </c>
      <c r="F36" s="230">
        <f>Occupancy!R18*Occupancy!$E$22</f>
        <v>145.45454545454547</v>
      </c>
      <c r="G36" s="230">
        <f>Occupancy!R18*Occupancy!$E$23</f>
        <v>29.09090909090909</v>
      </c>
      <c r="H36" s="230">
        <f>Occupancy!R18*Occupancy!$E$24</f>
        <v>29.09090909090909</v>
      </c>
      <c r="I36" s="198">
        <f t="shared" si="3"/>
        <v>1599.9999999999998</v>
      </c>
      <c r="J36" s="198"/>
      <c r="K36" s="198"/>
      <c r="L36" s="198"/>
      <c r="M36" s="198"/>
    </row>
    <row r="37" spans="2:13" ht="12" customHeight="1" collapsed="1" x14ac:dyDescent="0.2">
      <c r="B37" s="2" t="s">
        <v>109</v>
      </c>
      <c r="D37" s="233">
        <f>SUM(D38:D46)</f>
        <v>4889.4444444444453</v>
      </c>
      <c r="E37" s="233">
        <f t="shared" ref="E37:H37" si="4">SUM(E38:E46)</f>
        <v>4242.5333333333328</v>
      </c>
      <c r="F37" s="233">
        <f t="shared" si="4"/>
        <v>2298.7777777777774</v>
      </c>
      <c r="G37" s="233">
        <f t="shared" si="4"/>
        <v>1444.2666666666669</v>
      </c>
      <c r="H37" s="233">
        <f t="shared" si="4"/>
        <v>2407.1111111111109</v>
      </c>
      <c r="I37" s="198">
        <f>SUM(D37:H37)</f>
        <v>15282.133333333333</v>
      </c>
      <c r="J37" s="198"/>
      <c r="K37" s="198">
        <v>16000</v>
      </c>
      <c r="L37" s="198"/>
      <c r="M37" s="198">
        <v>13411</v>
      </c>
    </row>
    <row r="38" spans="2:13" ht="12" hidden="1" customHeight="1" outlineLevel="1" x14ac:dyDescent="0.2">
      <c r="C38" t="str">
        <f>'Support services'!A7</f>
        <v>Telephones</v>
      </c>
      <c r="D38" s="119">
        <f>'Support services'!Q7*'Support services'!$D$17</f>
        <v>1300</v>
      </c>
      <c r="E38" s="119">
        <f>'Support services'!Q7*'Support services'!$D$18</f>
        <v>1127.9999999999998</v>
      </c>
      <c r="F38" s="119">
        <f>'Support services'!Q7*'Support services'!$D$19</f>
        <v>339.99999999999994</v>
      </c>
      <c r="G38" s="119">
        <f>'Support services'!Q7*'Support services'!$D$20</f>
        <v>192</v>
      </c>
      <c r="H38" s="119">
        <f>'Support services'!Q7*'Support services'!$D$21</f>
        <v>640</v>
      </c>
      <c r="I38" s="198">
        <f>SUM(D38:H38)</f>
        <v>3600</v>
      </c>
      <c r="J38" s="198"/>
      <c r="K38" s="198"/>
      <c r="L38" s="198"/>
      <c r="M38" s="198"/>
    </row>
    <row r="39" spans="2:13" ht="12" hidden="1" customHeight="1" outlineLevel="1" x14ac:dyDescent="0.2">
      <c r="C39" s="95" t="str">
        <f>'Management &amp; General'!A10</f>
        <v>Mobile Phone</v>
      </c>
      <c r="D39" s="230"/>
      <c r="E39" s="230"/>
      <c r="F39" s="230">
        <f>'Management &amp; General'!Q10</f>
        <v>1020</v>
      </c>
      <c r="G39" s="119">
        <f>'Support services'!Q8*'Support services'!$D$20</f>
        <v>21.333333333333336</v>
      </c>
      <c r="H39" s="230"/>
      <c r="I39" s="198">
        <f>SUM(D39:H39)</f>
        <v>1041.3333333333333</v>
      </c>
      <c r="J39" s="198"/>
      <c r="K39" s="198"/>
      <c r="L39" s="198"/>
      <c r="M39" s="198"/>
    </row>
    <row r="40" spans="2:13" ht="12" hidden="1" customHeight="1" outlineLevel="1" x14ac:dyDescent="0.2">
      <c r="C40" t="str">
        <f>'Support services'!A8</f>
        <v>Technology purchases</v>
      </c>
      <c r="D40" s="119">
        <f>'Support services'!Q8*'Support services'!$D$17</f>
        <v>144.44444444444443</v>
      </c>
      <c r="E40" s="119">
        <f>'Support services'!Q8*'Support services'!$D$18</f>
        <v>125.33333333333331</v>
      </c>
      <c r="F40" s="119">
        <f>'Support services'!Q8*'Support services'!$D$19</f>
        <v>37.777777777777771</v>
      </c>
      <c r="G40" s="119">
        <f>'Support services'!Q9*'Support services'!$D$20</f>
        <v>16</v>
      </c>
      <c r="H40" s="119">
        <f>'Support services'!Q8*'Support services'!$D$21</f>
        <v>71.111111111111114</v>
      </c>
      <c r="I40" s="198">
        <f t="shared" ref="I40:I46" si="5">SUM(D40:H40)</f>
        <v>394.66666666666663</v>
      </c>
      <c r="J40" s="198"/>
      <c r="K40" s="198"/>
      <c r="L40" s="198"/>
      <c r="M40" s="198"/>
    </row>
    <row r="41" spans="2:13" ht="12" hidden="1" customHeight="1" outlineLevel="1" x14ac:dyDescent="0.2">
      <c r="C41" t="str">
        <f>'Support services'!A9</f>
        <v>Depreciation</v>
      </c>
      <c r="D41" s="119">
        <f>'Support services'!Q9*'Support services'!$D$17</f>
        <v>108.33333333333333</v>
      </c>
      <c r="E41" s="119">
        <f>'Support services'!Q9*'Support services'!$D$18</f>
        <v>93.999999999999986</v>
      </c>
      <c r="F41" s="119">
        <f>'Support services'!Q9*'Support services'!$D$19</f>
        <v>28.333333333333329</v>
      </c>
      <c r="G41" s="119">
        <f>'Support services'!Q10*'Support services'!$D$20</f>
        <v>256</v>
      </c>
      <c r="H41" s="119">
        <f>'Support services'!Q9*'Support services'!$D$21</f>
        <v>53.333333333333336</v>
      </c>
      <c r="I41" s="198">
        <f t="shared" si="5"/>
        <v>540</v>
      </c>
      <c r="J41" s="198"/>
      <c r="K41" s="198"/>
      <c r="L41" s="198"/>
      <c r="M41" s="198"/>
    </row>
    <row r="42" spans="2:13" ht="12" hidden="1" customHeight="1" outlineLevel="1" x14ac:dyDescent="0.2">
      <c r="C42" t="str">
        <f>'Support services'!A10</f>
        <v>Copier Leasing and supplies</v>
      </c>
      <c r="D42" s="119">
        <f>'Support services'!Q10*'Support services'!$D$17</f>
        <v>1733.3333333333333</v>
      </c>
      <c r="E42" s="119">
        <f>'Support services'!Q10*'Support services'!$D$18</f>
        <v>1503.9999999999998</v>
      </c>
      <c r="F42" s="119">
        <f>'Support services'!Q10*'Support services'!$D$19</f>
        <v>453.33333333333326</v>
      </c>
      <c r="G42" s="119">
        <f>'Support services'!Q11*'Support services'!$D$20</f>
        <v>48</v>
      </c>
      <c r="H42" s="119">
        <f>'Support services'!Q10*'Support services'!$D$21</f>
        <v>853.33333333333337</v>
      </c>
      <c r="I42" s="198">
        <f t="shared" si="5"/>
        <v>4591.9999999999991</v>
      </c>
      <c r="J42" s="198"/>
      <c r="K42" s="198"/>
      <c r="L42" s="198"/>
      <c r="M42" s="198"/>
    </row>
    <row r="43" spans="2:13" ht="12" hidden="1" customHeight="1" outlineLevel="1" x14ac:dyDescent="0.2">
      <c r="C43" t="str">
        <f>'Support services'!A11</f>
        <v>Office Supplies</v>
      </c>
      <c r="D43" s="119">
        <f>'Support services'!Q11*'Support services'!$D$17</f>
        <v>325</v>
      </c>
      <c r="E43" s="119">
        <f>'Support services'!Q11*'Support services'!$D$18</f>
        <v>281.99999999999994</v>
      </c>
      <c r="F43" s="119">
        <f>'Support services'!Q11*'Support services'!$D$19</f>
        <v>84.999999999999986</v>
      </c>
      <c r="G43" s="119">
        <f>'Support services'!Q12*'Support services'!$D$20</f>
        <v>76.800000000000011</v>
      </c>
      <c r="H43" s="119">
        <f>'Support services'!Q11*'Support services'!$D$21</f>
        <v>160</v>
      </c>
      <c r="I43" s="198">
        <f t="shared" si="5"/>
        <v>928.8</v>
      </c>
      <c r="J43" s="198"/>
      <c r="K43" s="198"/>
      <c r="L43" s="198"/>
      <c r="M43" s="198"/>
    </row>
    <row r="44" spans="2:13" ht="12" hidden="1" customHeight="1" outlineLevel="1" x14ac:dyDescent="0.2">
      <c r="C44" t="str">
        <f>'Support services'!A12</f>
        <v>Internet services</v>
      </c>
      <c r="D44" s="119">
        <f>'Support services'!Q12*'Support services'!$D$17</f>
        <v>520</v>
      </c>
      <c r="E44" s="119">
        <f>'Support services'!Q12*'Support services'!$D$18</f>
        <v>451.19999999999993</v>
      </c>
      <c r="F44" s="119">
        <f>'Support services'!Q12*'Support services'!$D$19</f>
        <v>135.99999999999997</v>
      </c>
      <c r="G44" s="119">
        <f>'Support services'!Q13*'Support services'!$D$20</f>
        <v>32</v>
      </c>
      <c r="H44" s="119">
        <f>'Support services'!Q12*'Support services'!$D$21</f>
        <v>256</v>
      </c>
      <c r="I44" s="198">
        <f>SUM(D44:H44)</f>
        <v>1395.1999999999998</v>
      </c>
      <c r="J44" s="198"/>
      <c r="K44" s="198"/>
      <c r="L44" s="198"/>
      <c r="M44" s="198"/>
    </row>
    <row r="45" spans="2:13" ht="12" hidden="1" customHeight="1" outlineLevel="1" x14ac:dyDescent="0.2">
      <c r="C45" t="str">
        <f>'Support services'!A13</f>
        <v>Web site hosting</v>
      </c>
      <c r="D45" s="119">
        <f>'Support services'!Q13*'Support services'!$D$17</f>
        <v>216.66666666666666</v>
      </c>
      <c r="E45" s="119">
        <f>'Support services'!Q13*'Support services'!$D$18</f>
        <v>187.99999999999997</v>
      </c>
      <c r="F45" s="119">
        <f>'Support services'!Q13*'Support services'!$D$19</f>
        <v>56.666666666666657</v>
      </c>
      <c r="G45" s="119">
        <f>'Support services'!Q14*'Support services'!$D$20</f>
        <v>80</v>
      </c>
      <c r="H45" s="119">
        <f>'Support services'!Q13*'Support services'!$D$21</f>
        <v>106.66666666666667</v>
      </c>
      <c r="I45" s="198">
        <f t="shared" si="5"/>
        <v>647.99999999999989</v>
      </c>
      <c r="J45" s="198"/>
      <c r="K45" s="198"/>
      <c r="L45" s="198"/>
      <c r="M45" s="198"/>
    </row>
    <row r="46" spans="2:13" ht="12" hidden="1" customHeight="1" outlineLevel="1" x14ac:dyDescent="0.2">
      <c r="C46" t="str">
        <f>'Support services'!A14</f>
        <v>Printing</v>
      </c>
      <c r="D46" s="119">
        <f>'Support services'!Q14*'Support services'!$D$17</f>
        <v>541.66666666666663</v>
      </c>
      <c r="E46" s="119">
        <f>'Support services'!Q14*'Support services'!$D$18</f>
        <v>469.99999999999994</v>
      </c>
      <c r="F46" s="119">
        <f>'Support services'!Q14*'Support services'!$D$19</f>
        <v>141.66666666666663</v>
      </c>
      <c r="G46" s="119">
        <f>'Support services'!Q15*'Support services'!$D$20</f>
        <v>722.13333333333333</v>
      </c>
      <c r="H46" s="119">
        <f>'Support services'!Q14*'Support services'!$D$21</f>
        <v>266.66666666666669</v>
      </c>
      <c r="I46" s="198">
        <f t="shared" si="5"/>
        <v>2142.1333333333328</v>
      </c>
      <c r="J46" s="198"/>
      <c r="K46" s="198"/>
      <c r="L46" s="198"/>
      <c r="M46" s="198"/>
    </row>
    <row r="47" spans="2:13" ht="12" customHeight="1" collapsed="1" x14ac:dyDescent="0.2">
      <c r="B47" s="2" t="s">
        <v>138</v>
      </c>
      <c r="D47" s="233"/>
      <c r="E47" s="233"/>
      <c r="F47" s="233">
        <f>SUM(F48:F52)</f>
        <v>22475</v>
      </c>
      <c r="G47" s="233"/>
      <c r="H47" s="233"/>
      <c r="I47" s="198">
        <f t="shared" ref="I47:I54" si="6">SUM(D47:H47)</f>
        <v>22475</v>
      </c>
      <c r="J47" s="198"/>
      <c r="K47" s="198">
        <v>25000</v>
      </c>
      <c r="L47" s="198"/>
      <c r="M47" s="198">
        <v>27995</v>
      </c>
    </row>
    <row r="48" spans="2:13" ht="12" hidden="1" customHeight="1" outlineLevel="1" x14ac:dyDescent="0.2">
      <c r="C48" s="95" t="str">
        <f>'Management &amp; General'!A11</f>
        <v>Board meeting costs</v>
      </c>
      <c r="D48" s="230"/>
      <c r="E48" s="230"/>
      <c r="F48" s="230">
        <f>'Management &amp; General'!Q11</f>
        <v>1125</v>
      </c>
      <c r="G48" s="230"/>
      <c r="H48" s="230"/>
      <c r="I48" s="198">
        <f t="shared" si="6"/>
        <v>1125</v>
      </c>
      <c r="J48" s="198"/>
      <c r="K48" s="198"/>
      <c r="L48" s="198"/>
      <c r="M48" s="198"/>
    </row>
    <row r="49" spans="1:20" ht="12" hidden="1" customHeight="1" outlineLevel="1" x14ac:dyDescent="0.2">
      <c r="C49" s="95" t="str">
        <f>'Management &amp; General'!A12</f>
        <v>Audit</v>
      </c>
      <c r="D49" s="230"/>
      <c r="E49" s="230"/>
      <c r="F49" s="230">
        <f>'Management &amp; General'!Q12</f>
        <v>11000</v>
      </c>
      <c r="G49" s="230"/>
      <c r="H49" s="230"/>
      <c r="I49" s="198">
        <f t="shared" si="6"/>
        <v>11000</v>
      </c>
      <c r="J49" s="198"/>
      <c r="K49" s="198"/>
      <c r="L49" s="198"/>
      <c r="M49" s="198"/>
    </row>
    <row r="50" spans="1:20" ht="12" hidden="1" customHeight="1" outlineLevel="1" x14ac:dyDescent="0.2">
      <c r="C50" s="95" t="str">
        <f>'Management &amp; General'!A13</f>
        <v>Directors and Officers Insurance</v>
      </c>
      <c r="D50" s="230"/>
      <c r="E50" s="230"/>
      <c r="F50" s="230">
        <f>'Management &amp; General'!Q13</f>
        <v>3000</v>
      </c>
      <c r="G50" s="230"/>
      <c r="H50" s="230"/>
      <c r="I50" s="198">
        <f t="shared" si="6"/>
        <v>3000</v>
      </c>
      <c r="J50" s="198"/>
      <c r="K50" s="198"/>
      <c r="L50" s="198"/>
      <c r="M50" s="198"/>
    </row>
    <row r="51" spans="1:20" ht="12" hidden="1" customHeight="1" outlineLevel="1" x14ac:dyDescent="0.2">
      <c r="C51" s="95" t="str">
        <f>'Management &amp; General'!A15</f>
        <v>Legal services</v>
      </c>
      <c r="D51" s="230"/>
      <c r="E51" s="230"/>
      <c r="F51" s="230">
        <f>'Management &amp; General'!Q15</f>
        <v>3600</v>
      </c>
      <c r="G51" s="230"/>
      <c r="H51" s="230"/>
      <c r="I51" s="198">
        <f t="shared" si="6"/>
        <v>3600</v>
      </c>
      <c r="J51" s="198"/>
      <c r="K51" s="198"/>
      <c r="L51" s="198"/>
      <c r="M51" s="198"/>
    </row>
    <row r="52" spans="1:20" ht="12" hidden="1" customHeight="1" outlineLevel="1" x14ac:dyDescent="0.2">
      <c r="C52" s="95" t="str">
        <f>'Management &amp; General'!A16</f>
        <v>Annual report and related marketing</v>
      </c>
      <c r="D52" s="231"/>
      <c r="E52" s="231"/>
      <c r="F52" s="230">
        <f>'Management &amp; General'!Q16</f>
        <v>3750</v>
      </c>
      <c r="G52" s="230"/>
      <c r="H52" s="231"/>
      <c r="I52" s="198">
        <f t="shared" si="6"/>
        <v>3750</v>
      </c>
      <c r="J52" s="198"/>
      <c r="K52" s="198"/>
      <c r="L52" s="198"/>
      <c r="M52" s="198"/>
    </row>
    <row r="53" spans="1:20" ht="12" customHeight="1" collapsed="1" x14ac:dyDescent="0.2">
      <c r="B53" s="2" t="s">
        <v>152</v>
      </c>
      <c r="D53" s="233">
        <f>SUM(D54:D59)</f>
        <v>9095</v>
      </c>
      <c r="E53" s="233">
        <f t="shared" ref="E53:H53" si="7">SUM(E54:E59)</f>
        <v>9100</v>
      </c>
      <c r="F53" s="233">
        <f t="shared" si="7"/>
        <v>2000</v>
      </c>
      <c r="G53" s="233">
        <f t="shared" si="7"/>
        <v>8200</v>
      </c>
      <c r="H53" s="233">
        <f t="shared" si="7"/>
        <v>9010</v>
      </c>
      <c r="I53" s="198">
        <f t="shared" si="6"/>
        <v>37405</v>
      </c>
      <c r="J53" s="198"/>
      <c r="K53" s="198">
        <v>10000</v>
      </c>
      <c r="L53" s="198"/>
      <c r="M53" s="198">
        <v>15685</v>
      </c>
    </row>
    <row r="54" spans="1:20" ht="12" hidden="1" customHeight="1" outlineLevel="1" x14ac:dyDescent="0.2">
      <c r="C54" s="95" t="s">
        <v>63</v>
      </c>
      <c r="D54" s="230">
        <f>'Program 1'!Q10</f>
        <v>1020</v>
      </c>
      <c r="E54" s="230"/>
      <c r="F54" s="230"/>
      <c r="G54" s="230">
        <v>4000</v>
      </c>
      <c r="H54" s="230">
        <f>Fundraising!Q10</f>
        <v>1020</v>
      </c>
      <c r="I54" s="198">
        <f t="shared" si="6"/>
        <v>6040</v>
      </c>
      <c r="J54" s="198"/>
      <c r="K54" s="198"/>
      <c r="L54" s="198"/>
      <c r="M54" s="198"/>
    </row>
    <row r="55" spans="1:20" ht="12" hidden="1" customHeight="1" outlineLevel="1" x14ac:dyDescent="0.2">
      <c r="C55" s="95" t="s">
        <v>76</v>
      </c>
      <c r="D55" s="230"/>
      <c r="E55" s="230"/>
      <c r="F55" s="230"/>
      <c r="G55" s="230"/>
      <c r="H55" s="230">
        <f>Fundraising!Q11</f>
        <v>750</v>
      </c>
      <c r="I55" s="198">
        <f t="shared" ref="I55:I59" si="8">SUM(D55:H55)</f>
        <v>750</v>
      </c>
      <c r="J55" s="198"/>
      <c r="K55" s="198"/>
      <c r="L55" s="198"/>
      <c r="M55" s="198"/>
    </row>
    <row r="56" spans="1:20" ht="12" hidden="1" customHeight="1" outlineLevel="1" x14ac:dyDescent="0.2">
      <c r="C56" s="95" t="s">
        <v>75</v>
      </c>
      <c r="D56" s="230">
        <f>'Program 1'!Q12</f>
        <v>1050</v>
      </c>
      <c r="E56" s="230">
        <f>'Program 2'!Q13</f>
        <v>1000</v>
      </c>
      <c r="F56" s="230">
        <f>'Management &amp; General'!Q14</f>
        <v>2000</v>
      </c>
      <c r="G56" s="230"/>
      <c r="H56" s="230">
        <f>Fundraising!Q12</f>
        <v>240</v>
      </c>
      <c r="I56" s="198">
        <f t="shared" si="8"/>
        <v>4290</v>
      </c>
      <c r="J56" s="198"/>
      <c r="K56" s="198"/>
      <c r="L56" s="198"/>
      <c r="M56" s="198"/>
    </row>
    <row r="57" spans="1:20" ht="12" hidden="1" customHeight="1" outlineLevel="1" x14ac:dyDescent="0.2">
      <c r="C57" s="189" t="s">
        <v>77</v>
      </c>
      <c r="D57" s="231"/>
      <c r="E57" s="231"/>
      <c r="F57" s="231"/>
      <c r="G57" s="231">
        <v>3000</v>
      </c>
      <c r="H57" s="231">
        <f>Fundraising!Q13</f>
        <v>7000</v>
      </c>
      <c r="I57" s="198">
        <f t="shared" si="8"/>
        <v>10000</v>
      </c>
      <c r="J57" s="198"/>
      <c r="K57" s="198"/>
      <c r="L57" s="198"/>
      <c r="M57" s="198"/>
    </row>
    <row r="58" spans="1:20" ht="12" hidden="1" customHeight="1" outlineLevel="1" x14ac:dyDescent="0.2">
      <c r="C58" s="232" t="s">
        <v>166</v>
      </c>
      <c r="D58" s="233">
        <f>'Program 1'!Q13</f>
        <v>5700</v>
      </c>
      <c r="E58" s="233">
        <f>'Program 2'!Q14</f>
        <v>3300</v>
      </c>
      <c r="F58" s="233"/>
      <c r="G58" s="233"/>
      <c r="H58" s="233"/>
      <c r="I58" s="198">
        <f t="shared" si="8"/>
        <v>9000</v>
      </c>
      <c r="J58" s="198"/>
      <c r="K58" s="198">
        <v>7000</v>
      </c>
      <c r="L58" s="198"/>
      <c r="M58" s="198">
        <v>7225</v>
      </c>
    </row>
    <row r="59" spans="1:20" ht="12" hidden="1" customHeight="1" outlineLevel="1" x14ac:dyDescent="0.2">
      <c r="C59" s="95" t="s">
        <v>78</v>
      </c>
      <c r="D59" s="230">
        <f>'Program 1'!Q11</f>
        <v>1325</v>
      </c>
      <c r="E59" s="230">
        <f>'Program 2'!Q12</f>
        <v>4800</v>
      </c>
      <c r="F59" s="230"/>
      <c r="G59" s="230">
        <v>1200</v>
      </c>
      <c r="H59" s="230"/>
      <c r="I59" s="198">
        <f t="shared" si="8"/>
        <v>7325</v>
      </c>
      <c r="J59" s="198"/>
      <c r="K59" s="198"/>
      <c r="L59" s="198"/>
      <c r="M59" s="198"/>
    </row>
    <row r="60" spans="1:20" ht="12" customHeight="1" collapsed="1" x14ac:dyDescent="0.2">
      <c r="C60" s="95"/>
      <c r="D60" s="230"/>
      <c r="E60" s="230"/>
      <c r="F60" s="230"/>
      <c r="G60" s="230"/>
      <c r="H60" s="230"/>
      <c r="I60" s="198"/>
      <c r="J60" s="198"/>
      <c r="K60" s="198"/>
      <c r="L60" s="198"/>
      <c r="M60" s="198"/>
    </row>
    <row r="61" spans="1:20" ht="12" customHeight="1" thickBot="1" x14ac:dyDescent="0.25">
      <c r="A61" s="200" t="s">
        <v>8</v>
      </c>
      <c r="B61" s="200"/>
      <c r="C61" s="200"/>
      <c r="D61" s="236">
        <f>D18+D25+D37+D47+D53</f>
        <v>195137.07075126262</v>
      </c>
      <c r="E61" s="236">
        <f>E18+E25+E37+E47+E53</f>
        <v>145825.01481060605</v>
      </c>
      <c r="F61" s="236">
        <f>F18+F25+F37+F47+F53</f>
        <v>84067.501414141414</v>
      </c>
      <c r="G61" s="236">
        <f>G18+G25+G37+G47+G53</f>
        <v>45376.139393939397</v>
      </c>
      <c r="H61" s="236">
        <f>H18+H25+H37+H47+H53</f>
        <v>80718.906963383837</v>
      </c>
      <c r="I61" s="201">
        <f>SUM(D61:H61)</f>
        <v>551124.6333333333</v>
      </c>
      <c r="J61" s="198"/>
      <c r="K61" s="201">
        <f>SUM(K18:K60)</f>
        <v>550600</v>
      </c>
      <c r="L61" s="198"/>
      <c r="M61" s="201">
        <f>SUM(M18:M60)</f>
        <v>523001</v>
      </c>
    </row>
    <row r="62" spans="1:20" ht="12" customHeight="1" x14ac:dyDescent="0.2">
      <c r="D62" s="229"/>
      <c r="E62" s="229"/>
      <c r="F62" s="229"/>
      <c r="G62" s="229"/>
      <c r="H62" s="229"/>
      <c r="I62" s="198"/>
      <c r="J62" s="198"/>
      <c r="K62" s="198"/>
      <c r="L62" s="198"/>
      <c r="M62" s="198"/>
    </row>
    <row r="63" spans="1:20" s="95" customFormat="1" ht="12" customHeight="1" x14ac:dyDescent="0.2">
      <c r="A63" s="232" t="s">
        <v>119</v>
      </c>
      <c r="B63" s="232"/>
      <c r="C63" s="232"/>
      <c r="D63" s="198">
        <f>D15-D61</f>
        <v>3662.929248737375</v>
      </c>
      <c r="E63" s="198">
        <f>E15-E61</f>
        <v>-35025.014810606051</v>
      </c>
      <c r="F63" s="198">
        <f>F15-F61</f>
        <v>-73467.501414141414</v>
      </c>
      <c r="G63" s="198">
        <f>-G61</f>
        <v>-45376.139393939397</v>
      </c>
      <c r="H63" s="198">
        <f>H15-H61</f>
        <v>165031.09303661616</v>
      </c>
      <c r="I63" s="198">
        <f>I15-I61</f>
        <v>14825.366666666698</v>
      </c>
      <c r="J63" s="198"/>
      <c r="K63" s="198">
        <f>K15-K61</f>
        <v>33600</v>
      </c>
      <c r="L63" s="198"/>
      <c r="M63" s="198">
        <f>M15-M61</f>
        <v>10231</v>
      </c>
      <c r="N63" s="198"/>
      <c r="O63" s="198"/>
      <c r="P63" s="198"/>
      <c r="Q63" s="198"/>
      <c r="R63" s="198"/>
      <c r="S63" s="198"/>
      <c r="T63" s="198"/>
    </row>
    <row r="64" spans="1:20" s="95" customFormat="1" ht="12" customHeight="1" x14ac:dyDescent="0.2">
      <c r="A64" s="232" t="s">
        <v>121</v>
      </c>
      <c r="B64" s="232"/>
      <c r="C64" s="232"/>
      <c r="D64" s="256">
        <f>D63/D15</f>
        <v>1.8425197428256414E-2</v>
      </c>
      <c r="E64" s="256">
        <f>E63/E15</f>
        <v>-0.31611024197297882</v>
      </c>
      <c r="F64" s="256">
        <f>F63/F15</f>
        <v>-6.9308963598246613</v>
      </c>
      <c r="G64" s="256"/>
      <c r="H64" s="256">
        <f>H63/H15</f>
        <v>0.67154056169528453</v>
      </c>
      <c r="I64" s="256">
        <f>I63/I15</f>
        <v>2.6195541420031269E-2</v>
      </c>
      <c r="J64" s="256"/>
      <c r="K64" s="256">
        <f>K63/K15</f>
        <v>5.7514549811708317E-2</v>
      </c>
      <c r="L64" s="256"/>
      <c r="M64" s="256">
        <f>M63/M15</f>
        <v>1.9186770486392415E-2</v>
      </c>
      <c r="N64" s="198"/>
      <c r="O64" s="198"/>
      <c r="P64" s="198"/>
      <c r="Q64" s="198"/>
      <c r="R64" s="198"/>
      <c r="S64" s="198"/>
      <c r="T64" s="198"/>
    </row>
    <row r="65" spans="1:20" s="95" customFormat="1" ht="12" customHeight="1" x14ac:dyDescent="0.2">
      <c r="A65" s="232"/>
      <c r="B65" s="232"/>
      <c r="C65" s="232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198"/>
      <c r="O65" s="198"/>
      <c r="P65" s="198"/>
      <c r="Q65" s="198"/>
      <c r="R65" s="198"/>
      <c r="S65" s="198"/>
      <c r="T65" s="198"/>
    </row>
    <row r="66" spans="1:20" s="95" customFormat="1" ht="12" customHeight="1" x14ac:dyDescent="0.2">
      <c r="A66" s="232" t="s">
        <v>154</v>
      </c>
      <c r="B66" s="232"/>
      <c r="C66" s="232"/>
      <c r="D66" s="258">
        <f>D61/(D61+E61)</f>
        <v>0.57231310756941733</v>
      </c>
      <c r="E66" s="258">
        <f>E61/(E61+D61)</f>
        <v>0.42768689243058267</v>
      </c>
      <c r="F66" s="233"/>
      <c r="G66" s="233"/>
      <c r="H66" s="233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</row>
    <row r="67" spans="1:20" s="95" customFormat="1" ht="12" customHeight="1" x14ac:dyDescent="0.2">
      <c r="A67" s="232" t="s">
        <v>153</v>
      </c>
      <c r="B67" s="232"/>
      <c r="C67" s="232"/>
      <c r="D67" s="233">
        <f>(F61+H61)*D66</f>
        <v>94309.42146374454</v>
      </c>
      <c r="E67" s="233">
        <f>(F61+H61)*E66</f>
        <v>70476.986913780711</v>
      </c>
      <c r="F67" s="259"/>
      <c r="G67" s="259"/>
      <c r="H67" s="259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</row>
    <row r="68" spans="1:20" s="95" customFormat="1" ht="12" customHeight="1" x14ac:dyDescent="0.2">
      <c r="A68" s="232"/>
      <c r="B68" s="232"/>
      <c r="C68" s="232"/>
      <c r="D68" s="259"/>
      <c r="E68" s="259"/>
      <c r="F68" s="259"/>
      <c r="G68" s="259"/>
      <c r="H68" s="259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</row>
    <row r="69" spans="1:20" s="95" customFormat="1" ht="12" customHeight="1" x14ac:dyDescent="0.2">
      <c r="A69" s="234" t="s">
        <v>8</v>
      </c>
      <c r="B69" s="234"/>
      <c r="C69" s="234"/>
      <c r="D69" s="238">
        <f>D61+D67</f>
        <v>289446.49221500719</v>
      </c>
      <c r="E69" s="238">
        <f>E61+E67</f>
        <v>216302.00172438676</v>
      </c>
      <c r="F69" s="260"/>
      <c r="G69" s="260"/>
      <c r="H69" s="260"/>
      <c r="I69" s="198">
        <f>SUM(D69:H69)</f>
        <v>505748.49393939396</v>
      </c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</row>
    <row r="70" spans="1:20" ht="12" customHeight="1" x14ac:dyDescent="0.2"/>
    <row r="71" spans="1:20" ht="12" customHeight="1" x14ac:dyDescent="0.2"/>
    <row r="72" spans="1:20" ht="12" customHeight="1" x14ac:dyDescent="0.2"/>
    <row r="73" spans="1:20" ht="12" customHeight="1" x14ac:dyDescent="0.2"/>
  </sheetData>
  <phoneticPr fontId="3" type="noConversion"/>
  <pageMargins left="0.25" right="0.25" top="0.5" bottom="0.5" header="0.2" footer="0.2"/>
  <pageSetup orientation="portrait" horizontalDpi="4294967292" verticalDpi="4294967292" r:id="rId1"/>
  <headerFooter alignWithMargins="0">
    <oddFooter>&amp;L&amp;"Arial,Bold"&amp;8&amp;D&amp;R&amp;"Arial,Bold"&amp;8 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O29"/>
  <sheetViews>
    <sheetView workbookViewId="0">
      <selection activeCell="Z42" sqref="Z42"/>
    </sheetView>
  </sheetViews>
  <sheetFormatPr defaultRowHeight="12.75" outlineLevelCol="1" x14ac:dyDescent="0.2"/>
  <cols>
    <col min="5" max="16" width="9.140625" customWidth="1" outlineLevel="1"/>
  </cols>
  <sheetData>
    <row r="1" spans="1:20" s="16" customFormat="1" x14ac:dyDescent="0.2">
      <c r="A1" s="104" t="str">
        <f>+'Summary budget'!A1</f>
        <v>The most bestest nonprofit</v>
      </c>
      <c r="B1" s="51"/>
      <c r="C1" s="105"/>
      <c r="D1" s="51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06"/>
      <c r="R1" s="107"/>
      <c r="S1" s="107"/>
      <c r="T1" s="107"/>
    </row>
    <row r="2" spans="1:20" s="16" customFormat="1" x14ac:dyDescent="0.2">
      <c r="A2" s="104" t="str">
        <f>+'Summary budget'!A2</f>
        <v>2014 Budget</v>
      </c>
      <c r="B2" s="51"/>
      <c r="C2" s="105"/>
      <c r="D2" s="5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06"/>
      <c r="R2" s="107"/>
      <c r="S2" s="107"/>
      <c r="T2" s="107"/>
    </row>
    <row r="3" spans="1:20" s="293" customFormat="1" x14ac:dyDescent="0.2">
      <c r="A3" s="287" t="s">
        <v>158</v>
      </c>
      <c r="B3" s="288"/>
      <c r="C3" s="289"/>
      <c r="D3" s="288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1"/>
      <c r="R3" s="292"/>
      <c r="S3" s="292"/>
      <c r="T3" s="292"/>
    </row>
    <row r="4" spans="1:20" s="16" customFormat="1" x14ac:dyDescent="0.2">
      <c r="A4" s="105"/>
      <c r="B4" s="51"/>
      <c r="C4" s="105"/>
      <c r="D4" s="51"/>
      <c r="E4" s="286" t="str">
        <f>'Summary budget'!A2</f>
        <v>2014 Budget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20"/>
      <c r="R4" s="107"/>
      <c r="S4" s="107"/>
      <c r="T4" s="107"/>
    </row>
    <row r="5" spans="1:20" s="9" customFormat="1" x14ac:dyDescent="0.2">
      <c r="A5" s="105"/>
      <c r="B5" s="51"/>
      <c r="C5" s="105"/>
      <c r="D5" s="111"/>
      <c r="E5" s="115" t="s">
        <v>14</v>
      </c>
      <c r="F5" s="115" t="s">
        <v>0</v>
      </c>
      <c r="G5" s="115" t="s">
        <v>1</v>
      </c>
      <c r="H5" s="115" t="s">
        <v>2</v>
      </c>
      <c r="I5" s="115" t="s">
        <v>3</v>
      </c>
      <c r="J5" s="115" t="s">
        <v>22</v>
      </c>
      <c r="K5" s="115" t="s">
        <v>23</v>
      </c>
      <c r="L5" s="115" t="s">
        <v>4</v>
      </c>
      <c r="M5" s="115" t="s">
        <v>24</v>
      </c>
      <c r="N5" s="115" t="s">
        <v>5</v>
      </c>
      <c r="O5" s="115" t="s">
        <v>6</v>
      </c>
      <c r="P5" s="115" t="s">
        <v>7</v>
      </c>
      <c r="Q5" s="46" t="s">
        <v>8</v>
      </c>
      <c r="R5" s="108"/>
      <c r="S5" s="108"/>
      <c r="T5" s="108"/>
    </row>
    <row r="7" spans="1:20" x14ac:dyDescent="0.2">
      <c r="A7" s="95" t="s">
        <v>72</v>
      </c>
      <c r="E7" s="148">
        <f>Personnel!G132</f>
        <v>2889.4</v>
      </c>
      <c r="F7" s="148">
        <f>Personnel!H132</f>
        <v>2889.4</v>
      </c>
      <c r="G7" s="148">
        <f>Personnel!I132</f>
        <v>2889.4</v>
      </c>
      <c r="H7" s="148">
        <f>Personnel!J132</f>
        <v>2889.4</v>
      </c>
      <c r="I7" s="148">
        <f>Personnel!K132</f>
        <v>2889.4</v>
      </c>
      <c r="J7" s="148">
        <f>Personnel!L132</f>
        <v>2889.4</v>
      </c>
      <c r="K7" s="148">
        <f>Personnel!M132</f>
        <v>2932.6</v>
      </c>
      <c r="L7" s="148">
        <f>Personnel!N132</f>
        <v>2932.6</v>
      </c>
      <c r="M7" s="148">
        <f>Personnel!O132</f>
        <v>2932.6</v>
      </c>
      <c r="N7" s="148">
        <f>Personnel!P132</f>
        <v>2932.6</v>
      </c>
      <c r="O7" s="148">
        <f>Personnel!Q132</f>
        <v>2932.6</v>
      </c>
      <c r="P7" s="148">
        <f>Personnel!R132</f>
        <v>2932.6</v>
      </c>
      <c r="Q7" s="148">
        <f>SUM(E7:P7)</f>
        <v>34931.999999999993</v>
      </c>
    </row>
    <row r="8" spans="1:20" x14ac:dyDescent="0.2">
      <c r="A8" s="95" t="s">
        <v>44</v>
      </c>
      <c r="E8" s="148">
        <f>Occupancy!F23</f>
        <v>85.709090909090904</v>
      </c>
      <c r="F8" s="148">
        <f>Occupancy!G23</f>
        <v>72.072727272727263</v>
      </c>
      <c r="G8" s="148">
        <f>Occupancy!H23</f>
        <v>67.981818181818184</v>
      </c>
      <c r="H8" s="148">
        <f>Occupancy!I23</f>
        <v>63.43636363636363</v>
      </c>
      <c r="I8" s="148">
        <f>Occupancy!J23</f>
        <v>58.43636363636363</v>
      </c>
      <c r="J8" s="148">
        <f>Occupancy!K23</f>
        <v>59.345454545454544</v>
      </c>
      <c r="K8" s="148">
        <f>Occupancy!L23</f>
        <v>73.890909090909091</v>
      </c>
      <c r="L8" s="148">
        <f>Occupancy!M23</f>
        <v>61.163636363636364</v>
      </c>
      <c r="M8" s="148">
        <f>Occupancy!N23</f>
        <v>62.981818181818177</v>
      </c>
      <c r="N8" s="148">
        <f>Occupancy!O23</f>
        <v>60.25454545454545</v>
      </c>
      <c r="O8" s="148">
        <f>Occupancy!P23</f>
        <v>66.163636363636357</v>
      </c>
      <c r="P8" s="148">
        <f>Occupancy!Q23</f>
        <v>68.436363636363637</v>
      </c>
      <c r="Q8" s="148">
        <f>SUM(E8:P8)</f>
        <v>799.87272727272716</v>
      </c>
    </row>
    <row r="9" spans="1:20" x14ac:dyDescent="0.2">
      <c r="A9" s="95" t="s">
        <v>59</v>
      </c>
      <c r="E9" s="148">
        <f>'Support services'!E20</f>
        <v>51.733333333333334</v>
      </c>
      <c r="F9" s="148">
        <f>'Support services'!F20</f>
        <v>51.733333333333334</v>
      </c>
      <c r="G9" s="148">
        <f>'Support services'!G20</f>
        <v>99.733333333333334</v>
      </c>
      <c r="H9" s="148">
        <f>'Support services'!H20</f>
        <v>51.733333333333334</v>
      </c>
      <c r="I9" s="148">
        <f>'Support services'!I20</f>
        <v>51.733333333333334</v>
      </c>
      <c r="J9" s="148">
        <f>'Support services'!J20</f>
        <v>51.733333333333334</v>
      </c>
      <c r="K9" s="148">
        <f>'Support services'!K20</f>
        <v>51.733333333333334</v>
      </c>
      <c r="L9" s="148">
        <f>'Support services'!L20</f>
        <v>105.06666666666668</v>
      </c>
      <c r="M9" s="148">
        <f>'Support services'!M20</f>
        <v>51.733333333333334</v>
      </c>
      <c r="N9" s="148">
        <f>'Support services'!N20</f>
        <v>51.733333333333334</v>
      </c>
      <c r="O9" s="148">
        <f>'Support services'!O20</f>
        <v>51.733333333333334</v>
      </c>
      <c r="P9" s="148">
        <f>'Support services'!P20</f>
        <v>51.733333333333334</v>
      </c>
      <c r="Q9" s="148">
        <f>SUM(E9:P9)</f>
        <v>722.13333333333344</v>
      </c>
    </row>
    <row r="10" spans="1:20" x14ac:dyDescent="0.2">
      <c r="A10" s="95" t="s">
        <v>63</v>
      </c>
      <c r="E10" s="148">
        <v>85</v>
      </c>
      <c r="F10" s="148">
        <v>85</v>
      </c>
      <c r="G10" s="148">
        <v>85</v>
      </c>
      <c r="H10" s="148">
        <v>85</v>
      </c>
      <c r="I10" s="148">
        <v>85</v>
      </c>
      <c r="J10" s="148">
        <v>85</v>
      </c>
      <c r="K10" s="148">
        <v>85</v>
      </c>
      <c r="L10" s="148">
        <v>85</v>
      </c>
      <c r="M10" s="148">
        <v>85</v>
      </c>
      <c r="N10" s="148">
        <v>85</v>
      </c>
      <c r="O10" s="148">
        <v>85</v>
      </c>
      <c r="P10" s="148">
        <v>85</v>
      </c>
      <c r="Q10" s="148">
        <f t="shared" ref="Q10:Q13" si="0">SUM(E10:P10)</f>
        <v>1020</v>
      </c>
    </row>
    <row r="11" spans="1:20" x14ac:dyDescent="0.2">
      <c r="A11" s="95" t="s">
        <v>167</v>
      </c>
      <c r="E11" s="148">
        <f>'Program 1'!E10+'Program 1'!E13</f>
        <v>85</v>
      </c>
      <c r="F11" s="148">
        <f>'Program 1'!F10+'Program 1'!F13</f>
        <v>85</v>
      </c>
      <c r="G11" s="148">
        <f>'Program 1'!G10+'Program 1'!G13</f>
        <v>85</v>
      </c>
      <c r="H11" s="148">
        <f>'Program 1'!H10+'Program 1'!H13</f>
        <v>85</v>
      </c>
      <c r="I11" s="148">
        <f>'Program 1'!I10+'Program 1'!I13</f>
        <v>585</v>
      </c>
      <c r="J11" s="148">
        <f>'Program 1'!J10+'Program 1'!J13</f>
        <v>1685</v>
      </c>
      <c r="K11" s="148">
        <f>'Program 1'!K10+'Program 1'!K13</f>
        <v>1685</v>
      </c>
      <c r="L11" s="148">
        <f>'Program 1'!L10+'Program 1'!L13</f>
        <v>1685</v>
      </c>
      <c r="M11" s="148">
        <f>'Program 1'!M10+'Program 1'!M13</f>
        <v>485</v>
      </c>
      <c r="N11" s="148">
        <f>'Program 1'!N10+'Program 1'!N13</f>
        <v>85</v>
      </c>
      <c r="O11" s="148">
        <f>'Program 1'!O10+'Program 1'!O13</f>
        <v>85</v>
      </c>
      <c r="P11" s="148">
        <f>'Program 1'!P10+'Program 1'!P13</f>
        <v>85</v>
      </c>
      <c r="Q11" s="148">
        <f t="shared" si="0"/>
        <v>6720</v>
      </c>
    </row>
    <row r="12" spans="1:20" x14ac:dyDescent="0.2">
      <c r="A12" s="95" t="s">
        <v>168</v>
      </c>
      <c r="E12" s="148">
        <f>'Program 2'!E10+'Program 2'!E14</f>
        <v>0</v>
      </c>
      <c r="F12" s="148">
        <v>20</v>
      </c>
      <c r="G12" s="148">
        <v>20</v>
      </c>
      <c r="H12" s="148">
        <v>20</v>
      </c>
      <c r="I12" s="148">
        <v>20</v>
      </c>
      <c r="J12" s="148">
        <v>20</v>
      </c>
      <c r="K12" s="148">
        <v>20</v>
      </c>
      <c r="L12" s="148">
        <v>20</v>
      </c>
      <c r="M12" s="148">
        <v>20</v>
      </c>
      <c r="N12" s="148">
        <v>20</v>
      </c>
      <c r="O12" s="148">
        <v>20</v>
      </c>
      <c r="P12" s="148">
        <v>20</v>
      </c>
      <c r="Q12" s="148">
        <f>SUM(E12:P12)</f>
        <v>220</v>
      </c>
    </row>
    <row r="13" spans="1:20" s="149" customFormat="1" ht="13.5" thickBot="1" x14ac:dyDescent="0.25">
      <c r="A13" s="151" t="s">
        <v>169</v>
      </c>
      <c r="E13" s="150">
        <f>'Management &amp; General'!E16</f>
        <v>75</v>
      </c>
      <c r="F13" s="150">
        <f>'Management &amp; General'!F16</f>
        <v>75</v>
      </c>
      <c r="G13" s="150">
        <f>'Management &amp; General'!G16</f>
        <v>75</v>
      </c>
      <c r="H13" s="150">
        <f>'Management &amp; General'!H16</f>
        <v>75</v>
      </c>
      <c r="I13" s="150">
        <f>'Management &amp; General'!I16</f>
        <v>2000</v>
      </c>
      <c r="J13" s="150">
        <f>'Management &amp; General'!J16</f>
        <v>75</v>
      </c>
      <c r="K13" s="150">
        <f>'Management &amp; General'!K16</f>
        <v>75</v>
      </c>
      <c r="L13" s="150">
        <f>'Management &amp; General'!L16</f>
        <v>75</v>
      </c>
      <c r="M13" s="150">
        <f>'Management &amp; General'!M16</f>
        <v>75</v>
      </c>
      <c r="N13" s="150">
        <f>'Management &amp; General'!N16</f>
        <v>75</v>
      </c>
      <c r="O13" s="150">
        <f>'Management &amp; General'!O16</f>
        <v>1000</v>
      </c>
      <c r="P13" s="150">
        <f>'Management &amp; General'!P16</f>
        <v>75</v>
      </c>
      <c r="Q13" s="150">
        <f t="shared" si="0"/>
        <v>3750</v>
      </c>
    </row>
    <row r="14" spans="1:20" s="3" customFormat="1" x14ac:dyDescent="0.2">
      <c r="A14" s="3" t="s">
        <v>8</v>
      </c>
      <c r="E14" s="197">
        <f t="shared" ref="E14:Q14" si="1">SUM(E7:E13)</f>
        <v>3271.8424242424239</v>
      </c>
      <c r="F14" s="197">
        <f t="shared" si="1"/>
        <v>3278.2060606060604</v>
      </c>
      <c r="G14" s="197">
        <f t="shared" si="1"/>
        <v>3322.1151515151514</v>
      </c>
      <c r="H14" s="197">
        <f t="shared" si="1"/>
        <v>3269.5696969696969</v>
      </c>
      <c r="I14" s="197">
        <f t="shared" si="1"/>
        <v>5689.5696969696965</v>
      </c>
      <c r="J14" s="197">
        <f t="shared" si="1"/>
        <v>4865.4787878787884</v>
      </c>
      <c r="K14" s="197">
        <f t="shared" si="1"/>
        <v>4923.2242424242422</v>
      </c>
      <c r="L14" s="197">
        <f t="shared" si="1"/>
        <v>4963.8303030303032</v>
      </c>
      <c r="M14" s="197">
        <f t="shared" si="1"/>
        <v>3712.3151515151512</v>
      </c>
      <c r="N14" s="197">
        <f t="shared" si="1"/>
        <v>3309.5878787878787</v>
      </c>
      <c r="O14" s="197">
        <f t="shared" si="1"/>
        <v>4240.4969696969692</v>
      </c>
      <c r="P14" s="197">
        <f t="shared" si="1"/>
        <v>3317.7696969696967</v>
      </c>
      <c r="Q14" s="197">
        <f t="shared" si="1"/>
        <v>48164.006060606051</v>
      </c>
    </row>
    <row r="15" spans="1:20" x14ac:dyDescent="0.2">
      <c r="A15" s="3"/>
      <c r="B15" s="3"/>
      <c r="C15" s="3"/>
      <c r="D15" s="3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3"/>
      <c r="S15" s="3"/>
    </row>
    <row r="17" spans="1:41" x14ac:dyDescent="0.2">
      <c r="A17" s="95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9" spans="1:41" ht="12" customHeight="1" x14ac:dyDescent="0.2">
      <c r="A19" s="95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1" spans="1:41" x14ac:dyDescent="0.2">
      <c r="A21" s="95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3" spans="1:41" x14ac:dyDescent="0.2">
      <c r="A23" s="95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41" s="151" customFormat="1" ht="13.5" thickBot="1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6" spans="1:41" x14ac:dyDescent="0.2"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9" spans="1:41" s="3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</sheetData>
  <mergeCells count="1">
    <mergeCell ref="E4:P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37"/>
  <sheetViews>
    <sheetView workbookViewId="0">
      <selection activeCell="A36" sqref="A36"/>
    </sheetView>
  </sheetViews>
  <sheetFormatPr defaultRowHeight="12.75" outlineLevelCol="1" x14ac:dyDescent="0.2"/>
  <cols>
    <col min="5" max="16" width="9.140625" customWidth="1" outlineLevel="1"/>
  </cols>
  <sheetData>
    <row r="1" spans="1:20" s="16" customFormat="1" x14ac:dyDescent="0.2">
      <c r="A1" s="104" t="str">
        <f>+'Summary budget'!A1</f>
        <v>The most bestest nonprofit</v>
      </c>
      <c r="B1" s="51"/>
      <c r="C1" s="105"/>
      <c r="D1" s="51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06"/>
      <c r="R1" s="107"/>
      <c r="S1" s="107"/>
      <c r="T1" s="107"/>
    </row>
    <row r="2" spans="1:20" s="16" customFormat="1" x14ac:dyDescent="0.2">
      <c r="A2" s="104" t="str">
        <f>+'Summary budget'!A2</f>
        <v>2014 Budget</v>
      </c>
      <c r="B2" s="51"/>
      <c r="C2" s="105"/>
      <c r="D2" s="5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06"/>
      <c r="R2" s="107"/>
      <c r="S2" s="107"/>
      <c r="T2" s="107"/>
    </row>
    <row r="3" spans="1:20" s="173" customFormat="1" x14ac:dyDescent="0.2">
      <c r="A3" s="167" t="s">
        <v>29</v>
      </c>
      <c r="B3" s="168"/>
      <c r="C3" s="169"/>
      <c r="D3" s="168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  <c r="R3" s="172"/>
      <c r="S3" s="172"/>
      <c r="T3" s="172"/>
    </row>
    <row r="4" spans="1:20" s="16" customFormat="1" x14ac:dyDescent="0.2">
      <c r="A4" s="105"/>
      <c r="B4" s="51"/>
      <c r="C4" s="105"/>
      <c r="D4" s="51"/>
      <c r="E4" s="286" t="str">
        <f>'Summary budget'!A2</f>
        <v>2014 Budget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20"/>
      <c r="R4" s="107"/>
      <c r="S4" s="107"/>
      <c r="T4" s="107"/>
    </row>
    <row r="5" spans="1:20" s="9" customFormat="1" x14ac:dyDescent="0.2">
      <c r="A5" s="105"/>
      <c r="B5" s="51"/>
      <c r="C5" s="105"/>
      <c r="D5" s="111"/>
      <c r="E5" s="115" t="s">
        <v>14</v>
      </c>
      <c r="F5" s="115" t="s">
        <v>0</v>
      </c>
      <c r="G5" s="115" t="s">
        <v>1</v>
      </c>
      <c r="H5" s="115" t="s">
        <v>2</v>
      </c>
      <c r="I5" s="115" t="s">
        <v>3</v>
      </c>
      <c r="J5" s="115" t="s">
        <v>22</v>
      </c>
      <c r="K5" s="115" t="s">
        <v>23</v>
      </c>
      <c r="L5" s="115" t="s">
        <v>4</v>
      </c>
      <c r="M5" s="115" t="s">
        <v>24</v>
      </c>
      <c r="N5" s="115" t="s">
        <v>5</v>
      </c>
      <c r="O5" s="115" t="s">
        <v>6</v>
      </c>
      <c r="P5" s="115" t="s">
        <v>7</v>
      </c>
      <c r="Q5" s="46" t="s">
        <v>8</v>
      </c>
      <c r="R5" s="108"/>
      <c r="S5" s="108"/>
      <c r="T5" s="108"/>
    </row>
    <row r="7" spans="1:20" x14ac:dyDescent="0.2">
      <c r="A7" s="95" t="s">
        <v>72</v>
      </c>
      <c r="E7" s="148">
        <f>Personnel!G133</f>
        <v>6033.7328125000004</v>
      </c>
      <c r="F7" s="148">
        <f>Personnel!H133</f>
        <v>5387.8328124999998</v>
      </c>
      <c r="G7" s="148">
        <f>Personnel!I133</f>
        <v>5519.03125</v>
      </c>
      <c r="H7" s="148">
        <f>Personnel!J133</f>
        <v>5551.3262500000001</v>
      </c>
      <c r="I7" s="148">
        <f>Personnel!K133</f>
        <v>6249.0328124999996</v>
      </c>
      <c r="J7" s="148">
        <f>Personnel!L133</f>
        <v>5468.5703125</v>
      </c>
      <c r="K7" s="148">
        <f>Personnel!M133</f>
        <v>5509.0703125</v>
      </c>
      <c r="L7" s="148">
        <f>Personnel!N133</f>
        <v>5509.0703125</v>
      </c>
      <c r="M7" s="148">
        <f>Personnel!O133</f>
        <v>5509.0703125</v>
      </c>
      <c r="N7" s="148">
        <f>Personnel!P133</f>
        <v>6181.8828125</v>
      </c>
      <c r="O7" s="148">
        <f>Personnel!Q133</f>
        <v>6074.2328125000004</v>
      </c>
      <c r="P7" s="148">
        <f>Personnel!R133</f>
        <v>5509.0703125</v>
      </c>
      <c r="Q7" s="148">
        <f>SUM(E7:P7)</f>
        <v>68501.923125000001</v>
      </c>
    </row>
    <row r="8" spans="1:20" x14ac:dyDescent="0.2">
      <c r="A8" s="95" t="s">
        <v>44</v>
      </c>
      <c r="E8" s="148">
        <f>Occupancy!F24</f>
        <v>85.709090909090904</v>
      </c>
      <c r="F8" s="148">
        <f>Occupancy!G24</f>
        <v>72.072727272727263</v>
      </c>
      <c r="G8" s="148">
        <f>Occupancy!H24</f>
        <v>67.981818181818184</v>
      </c>
      <c r="H8" s="148">
        <f>Occupancy!I24</f>
        <v>63.43636363636363</v>
      </c>
      <c r="I8" s="148">
        <f>Occupancy!J24</f>
        <v>58.43636363636363</v>
      </c>
      <c r="J8" s="148">
        <f>Occupancy!K24</f>
        <v>59.345454545454544</v>
      </c>
      <c r="K8" s="148">
        <f>Occupancy!L24</f>
        <v>73.890909090909091</v>
      </c>
      <c r="L8" s="148">
        <f>Occupancy!M24</f>
        <v>61.163636363636364</v>
      </c>
      <c r="M8" s="148">
        <f>Occupancy!N24</f>
        <v>62.981818181818177</v>
      </c>
      <c r="N8" s="148">
        <f>Occupancy!O24</f>
        <v>60.25454545454545</v>
      </c>
      <c r="O8" s="148">
        <f>Occupancy!P24</f>
        <v>66.163636363636357</v>
      </c>
      <c r="P8" s="148">
        <f>Occupancy!Q24</f>
        <v>68.436363636363637</v>
      </c>
      <c r="Q8" s="148">
        <f>SUM(E8:P8)</f>
        <v>799.87272727272716</v>
      </c>
    </row>
    <row r="9" spans="1:20" x14ac:dyDescent="0.2">
      <c r="A9" s="95" t="s">
        <v>59</v>
      </c>
      <c r="E9" s="148">
        <f>'Support services'!E21</f>
        <v>172.44444444444446</v>
      </c>
      <c r="F9" s="148">
        <f>'Support services'!F21</f>
        <v>172.44444444444446</v>
      </c>
      <c r="G9" s="148">
        <f>'Support services'!G21</f>
        <v>332.44444444444446</v>
      </c>
      <c r="H9" s="148">
        <f>'Support services'!H21</f>
        <v>172.44444444444446</v>
      </c>
      <c r="I9" s="148">
        <f>'Support services'!I21</f>
        <v>172.44444444444446</v>
      </c>
      <c r="J9" s="148">
        <f>'Support services'!J21</f>
        <v>172.44444444444446</v>
      </c>
      <c r="K9" s="148">
        <f>'Support services'!K21</f>
        <v>172.44444444444446</v>
      </c>
      <c r="L9" s="148">
        <f>'Support services'!L21</f>
        <v>350.22222222222223</v>
      </c>
      <c r="M9" s="148">
        <f>'Support services'!M21</f>
        <v>172.44444444444446</v>
      </c>
      <c r="N9" s="148">
        <f>'Support services'!N21</f>
        <v>172.44444444444446</v>
      </c>
      <c r="O9" s="148">
        <f>'Support services'!O21</f>
        <v>172.44444444444446</v>
      </c>
      <c r="P9" s="148">
        <f>'Support services'!P21</f>
        <v>172.44444444444446</v>
      </c>
      <c r="Q9" s="148">
        <f>SUM(E9:P9)</f>
        <v>2407.1111111111109</v>
      </c>
    </row>
    <row r="10" spans="1:20" x14ac:dyDescent="0.2">
      <c r="A10" s="95" t="s">
        <v>63</v>
      </c>
      <c r="E10" s="148">
        <v>85</v>
      </c>
      <c r="F10" s="148">
        <v>85</v>
      </c>
      <c r="G10" s="148">
        <v>85</v>
      </c>
      <c r="H10" s="148">
        <v>85</v>
      </c>
      <c r="I10" s="148">
        <v>85</v>
      </c>
      <c r="J10" s="148">
        <v>85</v>
      </c>
      <c r="K10" s="148">
        <v>85</v>
      </c>
      <c r="L10" s="148">
        <v>85</v>
      </c>
      <c r="M10" s="148">
        <v>85</v>
      </c>
      <c r="N10" s="148">
        <v>85</v>
      </c>
      <c r="O10" s="148">
        <v>85</v>
      </c>
      <c r="P10" s="148">
        <v>85</v>
      </c>
      <c r="Q10" s="148">
        <f t="shared" ref="Q10:Q13" si="0">SUM(E10:P10)</f>
        <v>1020</v>
      </c>
    </row>
    <row r="11" spans="1:20" x14ac:dyDescent="0.2">
      <c r="A11" s="95" t="s">
        <v>76</v>
      </c>
      <c r="E11" s="148"/>
      <c r="F11" s="148"/>
      <c r="G11" s="148"/>
      <c r="H11" s="148"/>
      <c r="I11" s="148">
        <v>750</v>
      </c>
      <c r="J11" s="148"/>
      <c r="K11" s="148"/>
      <c r="L11" s="148"/>
      <c r="M11" s="148"/>
      <c r="N11" s="148"/>
      <c r="O11" s="148"/>
      <c r="P11" s="148"/>
      <c r="Q11" s="148">
        <f t="shared" si="0"/>
        <v>750</v>
      </c>
    </row>
    <row r="12" spans="1:20" x14ac:dyDescent="0.2">
      <c r="A12" s="95" t="s">
        <v>75</v>
      </c>
      <c r="E12" s="148">
        <v>20</v>
      </c>
      <c r="F12" s="148">
        <v>20</v>
      </c>
      <c r="G12" s="148">
        <v>20</v>
      </c>
      <c r="H12" s="148">
        <v>20</v>
      </c>
      <c r="I12" s="148">
        <v>20</v>
      </c>
      <c r="J12" s="148">
        <v>20</v>
      </c>
      <c r="K12" s="148">
        <v>20</v>
      </c>
      <c r="L12" s="148">
        <v>20</v>
      </c>
      <c r="M12" s="148">
        <v>20</v>
      </c>
      <c r="N12" s="148">
        <v>20</v>
      </c>
      <c r="O12" s="148">
        <v>20</v>
      </c>
      <c r="P12" s="148">
        <v>20</v>
      </c>
      <c r="Q12" s="148">
        <f>SUM(E12:P12)</f>
        <v>240</v>
      </c>
    </row>
    <row r="13" spans="1:20" s="149" customFormat="1" ht="13.5" thickBot="1" x14ac:dyDescent="0.25">
      <c r="A13" s="151" t="s">
        <v>77</v>
      </c>
      <c r="E13" s="150"/>
      <c r="F13" s="150"/>
      <c r="G13" s="150">
        <v>2000</v>
      </c>
      <c r="H13" s="150">
        <v>3000</v>
      </c>
      <c r="I13" s="150">
        <v>2000</v>
      </c>
      <c r="J13" s="150"/>
      <c r="K13" s="150"/>
      <c r="L13" s="150"/>
      <c r="M13" s="150"/>
      <c r="N13" s="150"/>
      <c r="O13" s="150"/>
      <c r="P13" s="150"/>
      <c r="Q13" s="150">
        <f t="shared" si="0"/>
        <v>7000</v>
      </c>
    </row>
    <row r="14" spans="1:20" s="3" customFormat="1" x14ac:dyDescent="0.2">
      <c r="A14" s="3" t="s">
        <v>8</v>
      </c>
      <c r="E14" s="197">
        <f t="shared" ref="E14:Q14" si="1">SUM(E7:E13)</f>
        <v>6396.8863478535359</v>
      </c>
      <c r="F14" s="197">
        <f t="shared" si="1"/>
        <v>5737.3499842171714</v>
      </c>
      <c r="G14" s="197">
        <f t="shared" si="1"/>
        <v>8024.4575126262625</v>
      </c>
      <c r="H14" s="197">
        <f t="shared" si="1"/>
        <v>8892.2070580808067</v>
      </c>
      <c r="I14" s="197">
        <f t="shared" si="1"/>
        <v>9334.9136205808063</v>
      </c>
      <c r="J14" s="197">
        <f t="shared" si="1"/>
        <v>5805.3602114898986</v>
      </c>
      <c r="K14" s="197">
        <f t="shared" si="1"/>
        <v>5860.4056660353535</v>
      </c>
      <c r="L14" s="197">
        <f t="shared" si="1"/>
        <v>6025.4561710858588</v>
      </c>
      <c r="M14" s="197">
        <f t="shared" si="1"/>
        <v>5849.4965751262625</v>
      </c>
      <c r="N14" s="197">
        <f t="shared" si="1"/>
        <v>6519.5818023989896</v>
      </c>
      <c r="O14" s="197">
        <f t="shared" si="1"/>
        <v>6417.8408933080809</v>
      </c>
      <c r="P14" s="197">
        <f t="shared" si="1"/>
        <v>5854.9511205808076</v>
      </c>
      <c r="Q14" s="197">
        <f t="shared" si="1"/>
        <v>80718.906963383837</v>
      </c>
    </row>
    <row r="16" spans="1:20" x14ac:dyDescent="0.2">
      <c r="A16" s="95" t="s">
        <v>84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>
        <f t="shared" ref="Q16:Q22" si="2">SUM(E16:P16)</f>
        <v>0</v>
      </c>
    </row>
    <row r="17" spans="1:17" x14ac:dyDescent="0.2">
      <c r="A17" s="95"/>
      <c r="B17" s="95" t="s">
        <v>85</v>
      </c>
      <c r="E17" s="148"/>
      <c r="F17" s="148">
        <v>40000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>
        <f t="shared" si="2"/>
        <v>40000</v>
      </c>
    </row>
    <row r="18" spans="1:17" x14ac:dyDescent="0.2">
      <c r="A18" s="95"/>
      <c r="B18" s="95" t="s">
        <v>86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>
        <v>35000</v>
      </c>
      <c r="O18" s="148"/>
      <c r="P18" s="148"/>
      <c r="Q18" s="148">
        <f t="shared" si="2"/>
        <v>35000</v>
      </c>
    </row>
    <row r="19" spans="1:17" ht="12" customHeight="1" x14ac:dyDescent="0.2">
      <c r="A19" s="95"/>
      <c r="B19" s="95" t="s">
        <v>87</v>
      </c>
      <c r="E19" s="148">
        <v>6000</v>
      </c>
      <c r="F19" s="148">
        <v>6000</v>
      </c>
      <c r="G19" s="148">
        <v>6000</v>
      </c>
      <c r="H19" s="148">
        <v>6000</v>
      </c>
      <c r="I19" s="148">
        <v>6000</v>
      </c>
      <c r="J19" s="148">
        <v>6000</v>
      </c>
      <c r="K19" s="148">
        <v>6000</v>
      </c>
      <c r="L19" s="148">
        <v>6000</v>
      </c>
      <c r="M19" s="148">
        <v>6000</v>
      </c>
      <c r="N19" s="148">
        <v>6000</v>
      </c>
      <c r="O19" s="148">
        <v>6000</v>
      </c>
      <c r="P19" s="148">
        <v>6000</v>
      </c>
      <c r="Q19" s="148">
        <f t="shared" si="2"/>
        <v>72000</v>
      </c>
    </row>
    <row r="20" spans="1:17" x14ac:dyDescent="0.2">
      <c r="A20" s="95" t="s">
        <v>88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>
        <f t="shared" si="2"/>
        <v>0</v>
      </c>
    </row>
    <row r="21" spans="1:17" x14ac:dyDescent="0.2">
      <c r="A21" s="95"/>
      <c r="B21" s="95" t="s">
        <v>90</v>
      </c>
      <c r="E21" s="148">
        <v>5000</v>
      </c>
      <c r="F21" s="148">
        <v>750</v>
      </c>
      <c r="G21" s="148">
        <v>1000</v>
      </c>
      <c r="H21" s="148">
        <v>5000</v>
      </c>
      <c r="I21" s="148">
        <v>2000</v>
      </c>
      <c r="J21" s="148">
        <v>2000</v>
      </c>
      <c r="K21" s="148">
        <v>2000</v>
      </c>
      <c r="L21" s="148">
        <v>2000</v>
      </c>
      <c r="M21" s="148">
        <v>1000</v>
      </c>
      <c r="N21" s="148">
        <v>1000</v>
      </c>
      <c r="O21" s="148">
        <v>9000</v>
      </c>
      <c r="P21" s="148">
        <v>15000</v>
      </c>
      <c r="Q21" s="148">
        <f t="shared" si="2"/>
        <v>45750</v>
      </c>
    </row>
    <row r="22" spans="1:17" x14ac:dyDescent="0.2">
      <c r="A22" s="95"/>
      <c r="B22" s="95" t="s">
        <v>91</v>
      </c>
      <c r="D22" s="188"/>
      <c r="E22" s="148">
        <v>1000</v>
      </c>
      <c r="F22" s="148">
        <v>1000</v>
      </c>
      <c r="G22" s="148"/>
      <c r="H22" s="148"/>
      <c r="I22" s="148">
        <v>1000</v>
      </c>
      <c r="J22" s="148">
        <v>1000</v>
      </c>
      <c r="K22" s="148">
        <v>1000</v>
      </c>
      <c r="L22" s="148">
        <v>1000</v>
      </c>
      <c r="M22" s="148">
        <v>1000</v>
      </c>
      <c r="N22" s="148"/>
      <c r="O22" s="148"/>
      <c r="P22" s="148">
        <v>1000</v>
      </c>
      <c r="Q22" s="148">
        <f t="shared" si="2"/>
        <v>8000</v>
      </c>
    </row>
    <row r="24" spans="1:17" s="149" customFormat="1" ht="13.5" thickBot="1" x14ac:dyDescent="0.25">
      <c r="A24" s="151" t="s">
        <v>89</v>
      </c>
      <c r="E24" s="150"/>
      <c r="F24" s="150"/>
      <c r="G24" s="150">
        <v>20000</v>
      </c>
      <c r="H24" s="150"/>
      <c r="I24" s="150"/>
      <c r="J24" s="150"/>
      <c r="K24" s="150"/>
      <c r="L24" s="150"/>
      <c r="M24" s="150">
        <v>25000</v>
      </c>
      <c r="N24" s="150"/>
      <c r="O24" s="150"/>
      <c r="P24" s="150"/>
      <c r="Q24" s="150">
        <f>SUM(E24:P24)</f>
        <v>45000</v>
      </c>
    </row>
    <row r="25" spans="1:17" x14ac:dyDescent="0.2">
      <c r="A25" s="95" t="s">
        <v>8</v>
      </c>
      <c r="E25" s="148">
        <f t="shared" ref="E25:Q25" si="3">SUM(E16:E24)</f>
        <v>12000</v>
      </c>
      <c r="F25" s="148">
        <f t="shared" si="3"/>
        <v>47750</v>
      </c>
      <c r="G25" s="148">
        <f t="shared" si="3"/>
        <v>27000</v>
      </c>
      <c r="H25" s="148">
        <f t="shared" si="3"/>
        <v>11000</v>
      </c>
      <c r="I25" s="148">
        <f t="shared" si="3"/>
        <v>9000</v>
      </c>
      <c r="J25" s="148">
        <f t="shared" si="3"/>
        <v>9000</v>
      </c>
      <c r="K25" s="148">
        <f t="shared" si="3"/>
        <v>9000</v>
      </c>
      <c r="L25" s="148">
        <f t="shared" si="3"/>
        <v>9000</v>
      </c>
      <c r="M25" s="148">
        <f t="shared" si="3"/>
        <v>33000</v>
      </c>
      <c r="N25" s="148">
        <f t="shared" si="3"/>
        <v>42000</v>
      </c>
      <c r="O25" s="148">
        <f t="shared" si="3"/>
        <v>15000</v>
      </c>
      <c r="P25" s="148">
        <f t="shared" si="3"/>
        <v>22000</v>
      </c>
      <c r="Q25" s="148">
        <f t="shared" si="3"/>
        <v>245750</v>
      </c>
    </row>
    <row r="28" spans="1:17" x14ac:dyDescent="0.2">
      <c r="A28" s="3" t="s">
        <v>82</v>
      </c>
      <c r="E28" s="148">
        <f t="shared" ref="E28:Q28" si="4">E25-E14</f>
        <v>5603.1136521464641</v>
      </c>
      <c r="F28" s="148">
        <f t="shared" si="4"/>
        <v>42012.650015782827</v>
      </c>
      <c r="G28" s="148">
        <f t="shared" si="4"/>
        <v>18975.542487373736</v>
      </c>
      <c r="H28" s="148">
        <f t="shared" si="4"/>
        <v>2107.7929419191933</v>
      </c>
      <c r="I28" s="148">
        <f t="shared" si="4"/>
        <v>-334.91362058080631</v>
      </c>
      <c r="J28" s="148">
        <f t="shared" si="4"/>
        <v>3194.6397885101014</v>
      </c>
      <c r="K28" s="148">
        <f t="shared" si="4"/>
        <v>3139.5943339646465</v>
      </c>
      <c r="L28" s="148">
        <f t="shared" si="4"/>
        <v>2974.5438289141412</v>
      </c>
      <c r="M28" s="148">
        <f t="shared" si="4"/>
        <v>27150.503424873736</v>
      </c>
      <c r="N28" s="148">
        <f t="shared" si="4"/>
        <v>35480.418197601008</v>
      </c>
      <c r="O28" s="148">
        <f t="shared" si="4"/>
        <v>8582.1591066919191</v>
      </c>
      <c r="P28" s="148">
        <f t="shared" si="4"/>
        <v>16145.048879419192</v>
      </c>
      <c r="Q28" s="148">
        <f t="shared" si="4"/>
        <v>165031.09303661616</v>
      </c>
    </row>
    <row r="29" spans="1:17" s="3" customFormat="1" x14ac:dyDescent="0.2"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1" spans="1:17" x14ac:dyDescent="0.2">
      <c r="A31" s="95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</row>
    <row r="33" spans="1:17" x14ac:dyDescent="0.2">
      <c r="A33" s="95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</row>
    <row r="35" spans="1:17" x14ac:dyDescent="0.2">
      <c r="A35" s="95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</row>
    <row r="37" spans="1:17" x14ac:dyDescent="0.2">
      <c r="A37" s="95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</row>
  </sheetData>
  <mergeCells count="1">
    <mergeCell ref="E4:P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25" sqref="C25"/>
    </sheetView>
  </sheetViews>
  <sheetFormatPr defaultRowHeight="12.75" x14ac:dyDescent="0.2"/>
  <cols>
    <col min="2" max="2" width="16.85546875" customWidth="1"/>
  </cols>
  <sheetData>
    <row r="1" spans="1:5" x14ac:dyDescent="0.2">
      <c r="A1" s="95" t="s">
        <v>144</v>
      </c>
    </row>
    <row r="3" spans="1:5" x14ac:dyDescent="0.2">
      <c r="A3" s="95" t="s">
        <v>140</v>
      </c>
      <c r="B3" s="95" t="s">
        <v>149</v>
      </c>
    </row>
    <row r="4" spans="1:5" x14ac:dyDescent="0.2">
      <c r="B4" s="251" t="s">
        <v>27</v>
      </c>
      <c r="C4" s="250">
        <f>Personnel!E129</f>
        <v>0.35270362404058619</v>
      </c>
    </row>
    <row r="5" spans="1:5" x14ac:dyDescent="0.2">
      <c r="B5" s="252" t="s">
        <v>28</v>
      </c>
      <c r="C5" s="250">
        <f>Personnel!E130</f>
        <v>0.28447380833600522</v>
      </c>
    </row>
    <row r="6" spans="1:5" x14ac:dyDescent="0.2">
      <c r="B6" s="253" t="s">
        <v>145</v>
      </c>
      <c r="C6" s="250">
        <f>Personnel!E131</f>
        <v>0.12337528459763941</v>
      </c>
    </row>
    <row r="7" spans="1:5" x14ac:dyDescent="0.2">
      <c r="B7" s="262" t="s">
        <v>158</v>
      </c>
      <c r="C7" s="250">
        <f>Personnel!E132</f>
        <v>8.0866820458388847E-2</v>
      </c>
    </row>
    <row r="8" spans="1:5" x14ac:dyDescent="0.2">
      <c r="B8" s="254" t="s">
        <v>29</v>
      </c>
      <c r="C8" s="250">
        <f>Personnel!E133</f>
        <v>0.15858046256738034</v>
      </c>
    </row>
    <row r="9" spans="1:5" x14ac:dyDescent="0.2">
      <c r="B9" s="95" t="s">
        <v>8</v>
      </c>
      <c r="C9" s="250">
        <f>SUM(C4:C8)</f>
        <v>1</v>
      </c>
    </row>
    <row r="10" spans="1:5" x14ac:dyDescent="0.2">
      <c r="B10" s="95"/>
      <c r="C10" s="250"/>
    </row>
    <row r="11" spans="1:5" x14ac:dyDescent="0.2">
      <c r="A11" s="95" t="s">
        <v>143</v>
      </c>
      <c r="B11" s="95" t="s">
        <v>146</v>
      </c>
    </row>
    <row r="12" spans="1:5" x14ac:dyDescent="0.2">
      <c r="A12" s="95"/>
      <c r="B12" s="95"/>
    </row>
    <row r="13" spans="1:5" x14ac:dyDescent="0.2">
      <c r="A13" s="95"/>
      <c r="B13" s="95"/>
      <c r="C13" s="95" t="s">
        <v>150</v>
      </c>
      <c r="E13" s="95" t="s">
        <v>151</v>
      </c>
    </row>
    <row r="14" spans="1:5" x14ac:dyDescent="0.2">
      <c r="B14" s="251" t="s">
        <v>27</v>
      </c>
      <c r="C14" s="255">
        <f>Personnel!F129</f>
        <v>3.25</v>
      </c>
      <c r="E14" s="250">
        <f>'Support services'!D17</f>
        <v>0.3611111111111111</v>
      </c>
    </row>
    <row r="15" spans="1:5" x14ac:dyDescent="0.2">
      <c r="B15" s="252" t="s">
        <v>28</v>
      </c>
      <c r="C15" s="255">
        <f>Personnel!F130</f>
        <v>2.82</v>
      </c>
      <c r="E15" s="250">
        <f>'Support services'!D18</f>
        <v>0.3133333333333333</v>
      </c>
    </row>
    <row r="16" spans="1:5" x14ac:dyDescent="0.2">
      <c r="B16" s="253" t="s">
        <v>145</v>
      </c>
      <c r="C16" s="255">
        <f>Personnel!F131</f>
        <v>0.84999999999999987</v>
      </c>
      <c r="E16" s="250">
        <f>'Support services'!D19</f>
        <v>9.4444444444444428E-2</v>
      </c>
    </row>
    <row r="17" spans="1:5" x14ac:dyDescent="0.2">
      <c r="B17" s="262" t="s">
        <v>161</v>
      </c>
      <c r="C17" s="255">
        <f>Personnel!F132</f>
        <v>0.48000000000000004</v>
      </c>
      <c r="E17" s="250">
        <f>'Support services'!D21</f>
        <v>0.17777777777777778</v>
      </c>
    </row>
    <row r="18" spans="1:5" x14ac:dyDescent="0.2">
      <c r="B18" s="254" t="s">
        <v>29</v>
      </c>
      <c r="C18" s="255">
        <f>Personnel!F133</f>
        <v>1.6</v>
      </c>
      <c r="E18" s="250">
        <f>'Support services'!D21</f>
        <v>0.17777777777777778</v>
      </c>
    </row>
    <row r="19" spans="1:5" x14ac:dyDescent="0.2">
      <c r="B19" s="95" t="s">
        <v>8</v>
      </c>
      <c r="C19" s="255">
        <f>SUM(C14:C18)</f>
        <v>9</v>
      </c>
      <c r="E19" s="250">
        <f>'Support services'!D22</f>
        <v>1</v>
      </c>
    </row>
    <row r="21" spans="1:5" x14ac:dyDescent="0.2">
      <c r="A21" s="95" t="s">
        <v>147</v>
      </c>
      <c r="B21" s="95" t="s">
        <v>148</v>
      </c>
    </row>
    <row r="22" spans="1:5" x14ac:dyDescent="0.2">
      <c r="B22" s="251" t="s">
        <v>27</v>
      </c>
      <c r="C22" s="250">
        <f>Occupancy!E20</f>
        <v>0.65454545454545454</v>
      </c>
    </row>
    <row r="23" spans="1:5" x14ac:dyDescent="0.2">
      <c r="B23" s="252" t="s">
        <v>28</v>
      </c>
      <c r="C23" s="250">
        <f>Occupancy!E21</f>
        <v>0.21818181818181817</v>
      </c>
    </row>
    <row r="24" spans="1:5" x14ac:dyDescent="0.2">
      <c r="B24" s="253" t="s">
        <v>145</v>
      </c>
      <c r="C24" s="250">
        <f>Occupancy!E22</f>
        <v>9.0909090909090912E-2</v>
      </c>
    </row>
    <row r="25" spans="1:5" x14ac:dyDescent="0.2">
      <c r="B25" s="262" t="s">
        <v>158</v>
      </c>
      <c r="C25" s="250">
        <f>Occupancy!E23</f>
        <v>1.8181818181818181E-2</v>
      </c>
    </row>
    <row r="26" spans="1:5" x14ac:dyDescent="0.2">
      <c r="B26" s="254" t="s">
        <v>29</v>
      </c>
      <c r="C26" s="250">
        <f>Occupancy!E24</f>
        <v>1.8181818181818181E-2</v>
      </c>
    </row>
    <row r="27" spans="1:5" x14ac:dyDescent="0.2">
      <c r="B27" s="95" t="s">
        <v>8</v>
      </c>
      <c r="C27" s="250">
        <f>SUM(C22:C26)</f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P47" sqref="P47"/>
    </sheetView>
  </sheetViews>
  <sheetFormatPr defaultRowHeight="12.75" x14ac:dyDescent="0.2"/>
  <cols>
    <col min="1" max="1" width="31" style="95" customWidth="1"/>
    <col min="2" max="2" width="12.7109375" style="95" customWidth="1"/>
    <col min="3" max="3" width="19" style="95" customWidth="1"/>
    <col min="4" max="12" width="11.85546875" style="95" customWidth="1"/>
    <col min="13" max="15" width="12.85546875" style="95" customWidth="1"/>
    <col min="16" max="16" width="11.85546875" style="95" customWidth="1"/>
    <col min="17" max="17" width="18.7109375" style="95" customWidth="1"/>
    <col min="18" max="256" width="9.140625" style="95"/>
    <col min="257" max="257" width="36" style="95" customWidth="1"/>
    <col min="258" max="258" width="12.7109375" style="95" customWidth="1"/>
    <col min="259" max="259" width="19" style="95" customWidth="1"/>
    <col min="260" max="268" width="11.85546875" style="95" customWidth="1"/>
    <col min="269" max="271" width="12.85546875" style="95" customWidth="1"/>
    <col min="272" max="272" width="11.85546875" style="95" customWidth="1"/>
    <col min="273" max="512" width="9.140625" style="95"/>
    <col min="513" max="513" width="36" style="95" customWidth="1"/>
    <col min="514" max="514" width="12.7109375" style="95" customWidth="1"/>
    <col min="515" max="515" width="19" style="95" customWidth="1"/>
    <col min="516" max="524" width="11.85546875" style="95" customWidth="1"/>
    <col min="525" max="527" width="12.85546875" style="95" customWidth="1"/>
    <col min="528" max="528" width="11.85546875" style="95" customWidth="1"/>
    <col min="529" max="768" width="9.140625" style="95"/>
    <col min="769" max="769" width="36" style="95" customWidth="1"/>
    <col min="770" max="770" width="12.7109375" style="95" customWidth="1"/>
    <col min="771" max="771" width="19" style="95" customWidth="1"/>
    <col min="772" max="780" width="11.85546875" style="95" customWidth="1"/>
    <col min="781" max="783" width="12.85546875" style="95" customWidth="1"/>
    <col min="784" max="784" width="11.85546875" style="95" customWidth="1"/>
    <col min="785" max="1024" width="9.140625" style="95"/>
    <col min="1025" max="1025" width="36" style="95" customWidth="1"/>
    <col min="1026" max="1026" width="12.7109375" style="95" customWidth="1"/>
    <col min="1027" max="1027" width="19" style="95" customWidth="1"/>
    <col min="1028" max="1036" width="11.85546875" style="95" customWidth="1"/>
    <col min="1037" max="1039" width="12.85546875" style="95" customWidth="1"/>
    <col min="1040" max="1040" width="11.85546875" style="95" customWidth="1"/>
    <col min="1041" max="1280" width="9.140625" style="95"/>
    <col min="1281" max="1281" width="36" style="95" customWidth="1"/>
    <col min="1282" max="1282" width="12.7109375" style="95" customWidth="1"/>
    <col min="1283" max="1283" width="19" style="95" customWidth="1"/>
    <col min="1284" max="1292" width="11.85546875" style="95" customWidth="1"/>
    <col min="1293" max="1295" width="12.85546875" style="95" customWidth="1"/>
    <col min="1296" max="1296" width="11.85546875" style="95" customWidth="1"/>
    <col min="1297" max="1536" width="9.140625" style="95"/>
    <col min="1537" max="1537" width="36" style="95" customWidth="1"/>
    <col min="1538" max="1538" width="12.7109375" style="95" customWidth="1"/>
    <col min="1539" max="1539" width="19" style="95" customWidth="1"/>
    <col min="1540" max="1548" width="11.85546875" style="95" customWidth="1"/>
    <col min="1549" max="1551" width="12.85546875" style="95" customWidth="1"/>
    <col min="1552" max="1552" width="11.85546875" style="95" customWidth="1"/>
    <col min="1553" max="1792" width="9.140625" style="95"/>
    <col min="1793" max="1793" width="36" style="95" customWidth="1"/>
    <col min="1794" max="1794" width="12.7109375" style="95" customWidth="1"/>
    <col min="1795" max="1795" width="19" style="95" customWidth="1"/>
    <col min="1796" max="1804" width="11.85546875" style="95" customWidth="1"/>
    <col min="1805" max="1807" width="12.85546875" style="95" customWidth="1"/>
    <col min="1808" max="1808" width="11.85546875" style="95" customWidth="1"/>
    <col min="1809" max="2048" width="9.140625" style="95"/>
    <col min="2049" max="2049" width="36" style="95" customWidth="1"/>
    <col min="2050" max="2050" width="12.7109375" style="95" customWidth="1"/>
    <col min="2051" max="2051" width="19" style="95" customWidth="1"/>
    <col min="2052" max="2060" width="11.85546875" style="95" customWidth="1"/>
    <col min="2061" max="2063" width="12.85546875" style="95" customWidth="1"/>
    <col min="2064" max="2064" width="11.85546875" style="95" customWidth="1"/>
    <col min="2065" max="2304" width="9.140625" style="95"/>
    <col min="2305" max="2305" width="36" style="95" customWidth="1"/>
    <col min="2306" max="2306" width="12.7109375" style="95" customWidth="1"/>
    <col min="2307" max="2307" width="19" style="95" customWidth="1"/>
    <col min="2308" max="2316" width="11.85546875" style="95" customWidth="1"/>
    <col min="2317" max="2319" width="12.85546875" style="95" customWidth="1"/>
    <col min="2320" max="2320" width="11.85546875" style="95" customWidth="1"/>
    <col min="2321" max="2560" width="9.140625" style="95"/>
    <col min="2561" max="2561" width="36" style="95" customWidth="1"/>
    <col min="2562" max="2562" width="12.7109375" style="95" customWidth="1"/>
    <col min="2563" max="2563" width="19" style="95" customWidth="1"/>
    <col min="2564" max="2572" width="11.85546875" style="95" customWidth="1"/>
    <col min="2573" max="2575" width="12.85546875" style="95" customWidth="1"/>
    <col min="2576" max="2576" width="11.85546875" style="95" customWidth="1"/>
    <col min="2577" max="2816" width="9.140625" style="95"/>
    <col min="2817" max="2817" width="36" style="95" customWidth="1"/>
    <col min="2818" max="2818" width="12.7109375" style="95" customWidth="1"/>
    <col min="2819" max="2819" width="19" style="95" customWidth="1"/>
    <col min="2820" max="2828" width="11.85546875" style="95" customWidth="1"/>
    <col min="2829" max="2831" width="12.85546875" style="95" customWidth="1"/>
    <col min="2832" max="2832" width="11.85546875" style="95" customWidth="1"/>
    <col min="2833" max="3072" width="9.140625" style="95"/>
    <col min="3073" max="3073" width="36" style="95" customWidth="1"/>
    <col min="3074" max="3074" width="12.7109375" style="95" customWidth="1"/>
    <col min="3075" max="3075" width="19" style="95" customWidth="1"/>
    <col min="3076" max="3084" width="11.85546875" style="95" customWidth="1"/>
    <col min="3085" max="3087" width="12.85546875" style="95" customWidth="1"/>
    <col min="3088" max="3088" width="11.85546875" style="95" customWidth="1"/>
    <col min="3089" max="3328" width="9.140625" style="95"/>
    <col min="3329" max="3329" width="36" style="95" customWidth="1"/>
    <col min="3330" max="3330" width="12.7109375" style="95" customWidth="1"/>
    <col min="3331" max="3331" width="19" style="95" customWidth="1"/>
    <col min="3332" max="3340" width="11.85546875" style="95" customWidth="1"/>
    <col min="3341" max="3343" width="12.85546875" style="95" customWidth="1"/>
    <col min="3344" max="3344" width="11.85546875" style="95" customWidth="1"/>
    <col min="3345" max="3584" width="9.140625" style="95"/>
    <col min="3585" max="3585" width="36" style="95" customWidth="1"/>
    <col min="3586" max="3586" width="12.7109375" style="95" customWidth="1"/>
    <col min="3587" max="3587" width="19" style="95" customWidth="1"/>
    <col min="3588" max="3596" width="11.85546875" style="95" customWidth="1"/>
    <col min="3597" max="3599" width="12.85546875" style="95" customWidth="1"/>
    <col min="3600" max="3600" width="11.85546875" style="95" customWidth="1"/>
    <col min="3601" max="3840" width="9.140625" style="95"/>
    <col min="3841" max="3841" width="36" style="95" customWidth="1"/>
    <col min="3842" max="3842" width="12.7109375" style="95" customWidth="1"/>
    <col min="3843" max="3843" width="19" style="95" customWidth="1"/>
    <col min="3844" max="3852" width="11.85546875" style="95" customWidth="1"/>
    <col min="3853" max="3855" width="12.85546875" style="95" customWidth="1"/>
    <col min="3856" max="3856" width="11.85546875" style="95" customWidth="1"/>
    <col min="3857" max="4096" width="9.140625" style="95"/>
    <col min="4097" max="4097" width="36" style="95" customWidth="1"/>
    <col min="4098" max="4098" width="12.7109375" style="95" customWidth="1"/>
    <col min="4099" max="4099" width="19" style="95" customWidth="1"/>
    <col min="4100" max="4108" width="11.85546875" style="95" customWidth="1"/>
    <col min="4109" max="4111" width="12.85546875" style="95" customWidth="1"/>
    <col min="4112" max="4112" width="11.85546875" style="95" customWidth="1"/>
    <col min="4113" max="4352" width="9.140625" style="95"/>
    <col min="4353" max="4353" width="36" style="95" customWidth="1"/>
    <col min="4354" max="4354" width="12.7109375" style="95" customWidth="1"/>
    <col min="4355" max="4355" width="19" style="95" customWidth="1"/>
    <col min="4356" max="4364" width="11.85546875" style="95" customWidth="1"/>
    <col min="4365" max="4367" width="12.85546875" style="95" customWidth="1"/>
    <col min="4368" max="4368" width="11.85546875" style="95" customWidth="1"/>
    <col min="4369" max="4608" width="9.140625" style="95"/>
    <col min="4609" max="4609" width="36" style="95" customWidth="1"/>
    <col min="4610" max="4610" width="12.7109375" style="95" customWidth="1"/>
    <col min="4611" max="4611" width="19" style="95" customWidth="1"/>
    <col min="4612" max="4620" width="11.85546875" style="95" customWidth="1"/>
    <col min="4621" max="4623" width="12.85546875" style="95" customWidth="1"/>
    <col min="4624" max="4624" width="11.85546875" style="95" customWidth="1"/>
    <col min="4625" max="4864" width="9.140625" style="95"/>
    <col min="4865" max="4865" width="36" style="95" customWidth="1"/>
    <col min="4866" max="4866" width="12.7109375" style="95" customWidth="1"/>
    <col min="4867" max="4867" width="19" style="95" customWidth="1"/>
    <col min="4868" max="4876" width="11.85546875" style="95" customWidth="1"/>
    <col min="4877" max="4879" width="12.85546875" style="95" customWidth="1"/>
    <col min="4880" max="4880" width="11.85546875" style="95" customWidth="1"/>
    <col min="4881" max="5120" width="9.140625" style="95"/>
    <col min="5121" max="5121" width="36" style="95" customWidth="1"/>
    <col min="5122" max="5122" width="12.7109375" style="95" customWidth="1"/>
    <col min="5123" max="5123" width="19" style="95" customWidth="1"/>
    <col min="5124" max="5132" width="11.85546875" style="95" customWidth="1"/>
    <col min="5133" max="5135" width="12.85546875" style="95" customWidth="1"/>
    <col min="5136" max="5136" width="11.85546875" style="95" customWidth="1"/>
    <col min="5137" max="5376" width="9.140625" style="95"/>
    <col min="5377" max="5377" width="36" style="95" customWidth="1"/>
    <col min="5378" max="5378" width="12.7109375" style="95" customWidth="1"/>
    <col min="5379" max="5379" width="19" style="95" customWidth="1"/>
    <col min="5380" max="5388" width="11.85546875" style="95" customWidth="1"/>
    <col min="5389" max="5391" width="12.85546875" style="95" customWidth="1"/>
    <col min="5392" max="5392" width="11.85546875" style="95" customWidth="1"/>
    <col min="5393" max="5632" width="9.140625" style="95"/>
    <col min="5633" max="5633" width="36" style="95" customWidth="1"/>
    <col min="5634" max="5634" width="12.7109375" style="95" customWidth="1"/>
    <col min="5635" max="5635" width="19" style="95" customWidth="1"/>
    <col min="5636" max="5644" width="11.85546875" style="95" customWidth="1"/>
    <col min="5645" max="5647" width="12.85546875" style="95" customWidth="1"/>
    <col min="5648" max="5648" width="11.85546875" style="95" customWidth="1"/>
    <col min="5649" max="5888" width="9.140625" style="95"/>
    <col min="5889" max="5889" width="36" style="95" customWidth="1"/>
    <col min="5890" max="5890" width="12.7109375" style="95" customWidth="1"/>
    <col min="5891" max="5891" width="19" style="95" customWidth="1"/>
    <col min="5892" max="5900" width="11.85546875" style="95" customWidth="1"/>
    <col min="5901" max="5903" width="12.85546875" style="95" customWidth="1"/>
    <col min="5904" max="5904" width="11.85546875" style="95" customWidth="1"/>
    <col min="5905" max="6144" width="9.140625" style="95"/>
    <col min="6145" max="6145" width="36" style="95" customWidth="1"/>
    <col min="6146" max="6146" width="12.7109375" style="95" customWidth="1"/>
    <col min="6147" max="6147" width="19" style="95" customWidth="1"/>
    <col min="6148" max="6156" width="11.85546875" style="95" customWidth="1"/>
    <col min="6157" max="6159" width="12.85546875" style="95" customWidth="1"/>
    <col min="6160" max="6160" width="11.85546875" style="95" customWidth="1"/>
    <col min="6161" max="6400" width="9.140625" style="95"/>
    <col min="6401" max="6401" width="36" style="95" customWidth="1"/>
    <col min="6402" max="6402" width="12.7109375" style="95" customWidth="1"/>
    <col min="6403" max="6403" width="19" style="95" customWidth="1"/>
    <col min="6404" max="6412" width="11.85546875" style="95" customWidth="1"/>
    <col min="6413" max="6415" width="12.85546875" style="95" customWidth="1"/>
    <col min="6416" max="6416" width="11.85546875" style="95" customWidth="1"/>
    <col min="6417" max="6656" width="9.140625" style="95"/>
    <col min="6657" max="6657" width="36" style="95" customWidth="1"/>
    <col min="6658" max="6658" width="12.7109375" style="95" customWidth="1"/>
    <col min="6659" max="6659" width="19" style="95" customWidth="1"/>
    <col min="6660" max="6668" width="11.85546875" style="95" customWidth="1"/>
    <col min="6669" max="6671" width="12.85546875" style="95" customWidth="1"/>
    <col min="6672" max="6672" width="11.85546875" style="95" customWidth="1"/>
    <col min="6673" max="6912" width="9.140625" style="95"/>
    <col min="6913" max="6913" width="36" style="95" customWidth="1"/>
    <col min="6914" max="6914" width="12.7109375" style="95" customWidth="1"/>
    <col min="6915" max="6915" width="19" style="95" customWidth="1"/>
    <col min="6916" max="6924" width="11.85546875" style="95" customWidth="1"/>
    <col min="6925" max="6927" width="12.85546875" style="95" customWidth="1"/>
    <col min="6928" max="6928" width="11.85546875" style="95" customWidth="1"/>
    <col min="6929" max="7168" width="9.140625" style="95"/>
    <col min="7169" max="7169" width="36" style="95" customWidth="1"/>
    <col min="7170" max="7170" width="12.7109375" style="95" customWidth="1"/>
    <col min="7171" max="7171" width="19" style="95" customWidth="1"/>
    <col min="7172" max="7180" width="11.85546875" style="95" customWidth="1"/>
    <col min="7181" max="7183" width="12.85546875" style="95" customWidth="1"/>
    <col min="7184" max="7184" width="11.85546875" style="95" customWidth="1"/>
    <col min="7185" max="7424" width="9.140625" style="95"/>
    <col min="7425" max="7425" width="36" style="95" customWidth="1"/>
    <col min="7426" max="7426" width="12.7109375" style="95" customWidth="1"/>
    <col min="7427" max="7427" width="19" style="95" customWidth="1"/>
    <col min="7428" max="7436" width="11.85546875" style="95" customWidth="1"/>
    <col min="7437" max="7439" width="12.85546875" style="95" customWidth="1"/>
    <col min="7440" max="7440" width="11.85546875" style="95" customWidth="1"/>
    <col min="7441" max="7680" width="9.140625" style="95"/>
    <col min="7681" max="7681" width="36" style="95" customWidth="1"/>
    <col min="7682" max="7682" width="12.7109375" style="95" customWidth="1"/>
    <col min="7683" max="7683" width="19" style="95" customWidth="1"/>
    <col min="7684" max="7692" width="11.85546875" style="95" customWidth="1"/>
    <col min="7693" max="7695" width="12.85546875" style="95" customWidth="1"/>
    <col min="7696" max="7696" width="11.85546875" style="95" customWidth="1"/>
    <col min="7697" max="7936" width="9.140625" style="95"/>
    <col min="7937" max="7937" width="36" style="95" customWidth="1"/>
    <col min="7938" max="7938" width="12.7109375" style="95" customWidth="1"/>
    <col min="7939" max="7939" width="19" style="95" customWidth="1"/>
    <col min="7940" max="7948" width="11.85546875" style="95" customWidth="1"/>
    <col min="7949" max="7951" width="12.85546875" style="95" customWidth="1"/>
    <col min="7952" max="7952" width="11.85546875" style="95" customWidth="1"/>
    <col min="7953" max="8192" width="9.140625" style="95"/>
    <col min="8193" max="8193" width="36" style="95" customWidth="1"/>
    <col min="8194" max="8194" width="12.7109375" style="95" customWidth="1"/>
    <col min="8195" max="8195" width="19" style="95" customWidth="1"/>
    <col min="8196" max="8204" width="11.85546875" style="95" customWidth="1"/>
    <col min="8205" max="8207" width="12.85546875" style="95" customWidth="1"/>
    <col min="8208" max="8208" width="11.85546875" style="95" customWidth="1"/>
    <col min="8209" max="8448" width="9.140625" style="95"/>
    <col min="8449" max="8449" width="36" style="95" customWidth="1"/>
    <col min="8450" max="8450" width="12.7109375" style="95" customWidth="1"/>
    <col min="8451" max="8451" width="19" style="95" customWidth="1"/>
    <col min="8452" max="8460" width="11.85546875" style="95" customWidth="1"/>
    <col min="8461" max="8463" width="12.85546875" style="95" customWidth="1"/>
    <col min="8464" max="8464" width="11.85546875" style="95" customWidth="1"/>
    <col min="8465" max="8704" width="9.140625" style="95"/>
    <col min="8705" max="8705" width="36" style="95" customWidth="1"/>
    <col min="8706" max="8706" width="12.7109375" style="95" customWidth="1"/>
    <col min="8707" max="8707" width="19" style="95" customWidth="1"/>
    <col min="8708" max="8716" width="11.85546875" style="95" customWidth="1"/>
    <col min="8717" max="8719" width="12.85546875" style="95" customWidth="1"/>
    <col min="8720" max="8720" width="11.85546875" style="95" customWidth="1"/>
    <col min="8721" max="8960" width="9.140625" style="95"/>
    <col min="8961" max="8961" width="36" style="95" customWidth="1"/>
    <col min="8962" max="8962" width="12.7109375" style="95" customWidth="1"/>
    <col min="8963" max="8963" width="19" style="95" customWidth="1"/>
    <col min="8964" max="8972" width="11.85546875" style="95" customWidth="1"/>
    <col min="8973" max="8975" width="12.85546875" style="95" customWidth="1"/>
    <col min="8976" max="8976" width="11.85546875" style="95" customWidth="1"/>
    <col min="8977" max="9216" width="9.140625" style="95"/>
    <col min="9217" max="9217" width="36" style="95" customWidth="1"/>
    <col min="9218" max="9218" width="12.7109375" style="95" customWidth="1"/>
    <col min="9219" max="9219" width="19" style="95" customWidth="1"/>
    <col min="9220" max="9228" width="11.85546875" style="95" customWidth="1"/>
    <col min="9229" max="9231" width="12.85546875" style="95" customWidth="1"/>
    <col min="9232" max="9232" width="11.85546875" style="95" customWidth="1"/>
    <col min="9233" max="9472" width="9.140625" style="95"/>
    <col min="9473" max="9473" width="36" style="95" customWidth="1"/>
    <col min="9474" max="9474" width="12.7109375" style="95" customWidth="1"/>
    <col min="9475" max="9475" width="19" style="95" customWidth="1"/>
    <col min="9476" max="9484" width="11.85546875" style="95" customWidth="1"/>
    <col min="9485" max="9487" width="12.85546875" style="95" customWidth="1"/>
    <col min="9488" max="9488" width="11.85546875" style="95" customWidth="1"/>
    <col min="9489" max="9728" width="9.140625" style="95"/>
    <col min="9729" max="9729" width="36" style="95" customWidth="1"/>
    <col min="9730" max="9730" width="12.7109375" style="95" customWidth="1"/>
    <col min="9731" max="9731" width="19" style="95" customWidth="1"/>
    <col min="9732" max="9740" width="11.85546875" style="95" customWidth="1"/>
    <col min="9741" max="9743" width="12.85546875" style="95" customWidth="1"/>
    <col min="9744" max="9744" width="11.85546875" style="95" customWidth="1"/>
    <col min="9745" max="9984" width="9.140625" style="95"/>
    <col min="9985" max="9985" width="36" style="95" customWidth="1"/>
    <col min="9986" max="9986" width="12.7109375" style="95" customWidth="1"/>
    <col min="9987" max="9987" width="19" style="95" customWidth="1"/>
    <col min="9988" max="9996" width="11.85546875" style="95" customWidth="1"/>
    <col min="9997" max="9999" width="12.85546875" style="95" customWidth="1"/>
    <col min="10000" max="10000" width="11.85546875" style="95" customWidth="1"/>
    <col min="10001" max="10240" width="9.140625" style="95"/>
    <col min="10241" max="10241" width="36" style="95" customWidth="1"/>
    <col min="10242" max="10242" width="12.7109375" style="95" customWidth="1"/>
    <col min="10243" max="10243" width="19" style="95" customWidth="1"/>
    <col min="10244" max="10252" width="11.85546875" style="95" customWidth="1"/>
    <col min="10253" max="10255" width="12.85546875" style="95" customWidth="1"/>
    <col min="10256" max="10256" width="11.85546875" style="95" customWidth="1"/>
    <col min="10257" max="10496" width="9.140625" style="95"/>
    <col min="10497" max="10497" width="36" style="95" customWidth="1"/>
    <col min="10498" max="10498" width="12.7109375" style="95" customWidth="1"/>
    <col min="10499" max="10499" width="19" style="95" customWidth="1"/>
    <col min="10500" max="10508" width="11.85546875" style="95" customWidth="1"/>
    <col min="10509" max="10511" width="12.85546875" style="95" customWidth="1"/>
    <col min="10512" max="10512" width="11.85546875" style="95" customWidth="1"/>
    <col min="10513" max="10752" width="9.140625" style="95"/>
    <col min="10753" max="10753" width="36" style="95" customWidth="1"/>
    <col min="10754" max="10754" width="12.7109375" style="95" customWidth="1"/>
    <col min="10755" max="10755" width="19" style="95" customWidth="1"/>
    <col min="10756" max="10764" width="11.85546875" style="95" customWidth="1"/>
    <col min="10765" max="10767" width="12.85546875" style="95" customWidth="1"/>
    <col min="10768" max="10768" width="11.85546875" style="95" customWidth="1"/>
    <col min="10769" max="11008" width="9.140625" style="95"/>
    <col min="11009" max="11009" width="36" style="95" customWidth="1"/>
    <col min="11010" max="11010" width="12.7109375" style="95" customWidth="1"/>
    <col min="11011" max="11011" width="19" style="95" customWidth="1"/>
    <col min="11012" max="11020" width="11.85546875" style="95" customWidth="1"/>
    <col min="11021" max="11023" width="12.85546875" style="95" customWidth="1"/>
    <col min="11024" max="11024" width="11.85546875" style="95" customWidth="1"/>
    <col min="11025" max="11264" width="9.140625" style="95"/>
    <col min="11265" max="11265" width="36" style="95" customWidth="1"/>
    <col min="11266" max="11266" width="12.7109375" style="95" customWidth="1"/>
    <col min="11267" max="11267" width="19" style="95" customWidth="1"/>
    <col min="11268" max="11276" width="11.85546875" style="95" customWidth="1"/>
    <col min="11277" max="11279" width="12.85546875" style="95" customWidth="1"/>
    <col min="11280" max="11280" width="11.85546875" style="95" customWidth="1"/>
    <col min="11281" max="11520" width="9.140625" style="95"/>
    <col min="11521" max="11521" width="36" style="95" customWidth="1"/>
    <col min="11522" max="11522" width="12.7109375" style="95" customWidth="1"/>
    <col min="11523" max="11523" width="19" style="95" customWidth="1"/>
    <col min="11524" max="11532" width="11.85546875" style="95" customWidth="1"/>
    <col min="11533" max="11535" width="12.85546875" style="95" customWidth="1"/>
    <col min="11536" max="11536" width="11.85546875" style="95" customWidth="1"/>
    <col min="11537" max="11776" width="9.140625" style="95"/>
    <col min="11777" max="11777" width="36" style="95" customWidth="1"/>
    <col min="11778" max="11778" width="12.7109375" style="95" customWidth="1"/>
    <col min="11779" max="11779" width="19" style="95" customWidth="1"/>
    <col min="11780" max="11788" width="11.85546875" style="95" customWidth="1"/>
    <col min="11789" max="11791" width="12.85546875" style="95" customWidth="1"/>
    <col min="11792" max="11792" width="11.85546875" style="95" customWidth="1"/>
    <col min="11793" max="12032" width="9.140625" style="95"/>
    <col min="12033" max="12033" width="36" style="95" customWidth="1"/>
    <col min="12034" max="12034" width="12.7109375" style="95" customWidth="1"/>
    <col min="12035" max="12035" width="19" style="95" customWidth="1"/>
    <col min="12036" max="12044" width="11.85546875" style="95" customWidth="1"/>
    <col min="12045" max="12047" width="12.85546875" style="95" customWidth="1"/>
    <col min="12048" max="12048" width="11.85546875" style="95" customWidth="1"/>
    <col min="12049" max="12288" width="9.140625" style="95"/>
    <col min="12289" max="12289" width="36" style="95" customWidth="1"/>
    <col min="12290" max="12290" width="12.7109375" style="95" customWidth="1"/>
    <col min="12291" max="12291" width="19" style="95" customWidth="1"/>
    <col min="12292" max="12300" width="11.85546875" style="95" customWidth="1"/>
    <col min="12301" max="12303" width="12.85546875" style="95" customWidth="1"/>
    <col min="12304" max="12304" width="11.85546875" style="95" customWidth="1"/>
    <col min="12305" max="12544" width="9.140625" style="95"/>
    <col min="12545" max="12545" width="36" style="95" customWidth="1"/>
    <col min="12546" max="12546" width="12.7109375" style="95" customWidth="1"/>
    <col min="12547" max="12547" width="19" style="95" customWidth="1"/>
    <col min="12548" max="12556" width="11.85546875" style="95" customWidth="1"/>
    <col min="12557" max="12559" width="12.85546875" style="95" customWidth="1"/>
    <col min="12560" max="12560" width="11.85546875" style="95" customWidth="1"/>
    <col min="12561" max="12800" width="9.140625" style="95"/>
    <col min="12801" max="12801" width="36" style="95" customWidth="1"/>
    <col min="12802" max="12802" width="12.7109375" style="95" customWidth="1"/>
    <col min="12803" max="12803" width="19" style="95" customWidth="1"/>
    <col min="12804" max="12812" width="11.85546875" style="95" customWidth="1"/>
    <col min="12813" max="12815" width="12.85546875" style="95" customWidth="1"/>
    <col min="12816" max="12816" width="11.85546875" style="95" customWidth="1"/>
    <col min="12817" max="13056" width="9.140625" style="95"/>
    <col min="13057" max="13057" width="36" style="95" customWidth="1"/>
    <col min="13058" max="13058" width="12.7109375" style="95" customWidth="1"/>
    <col min="13059" max="13059" width="19" style="95" customWidth="1"/>
    <col min="13060" max="13068" width="11.85546875" style="95" customWidth="1"/>
    <col min="13069" max="13071" width="12.85546875" style="95" customWidth="1"/>
    <col min="13072" max="13072" width="11.85546875" style="95" customWidth="1"/>
    <col min="13073" max="13312" width="9.140625" style="95"/>
    <col min="13313" max="13313" width="36" style="95" customWidth="1"/>
    <col min="13314" max="13314" width="12.7109375" style="95" customWidth="1"/>
    <col min="13315" max="13315" width="19" style="95" customWidth="1"/>
    <col min="13316" max="13324" width="11.85546875" style="95" customWidth="1"/>
    <col min="13325" max="13327" width="12.85546875" style="95" customWidth="1"/>
    <col min="13328" max="13328" width="11.85546875" style="95" customWidth="1"/>
    <col min="13329" max="13568" width="9.140625" style="95"/>
    <col min="13569" max="13569" width="36" style="95" customWidth="1"/>
    <col min="13570" max="13570" width="12.7109375" style="95" customWidth="1"/>
    <col min="13571" max="13571" width="19" style="95" customWidth="1"/>
    <col min="13572" max="13580" width="11.85546875" style="95" customWidth="1"/>
    <col min="13581" max="13583" width="12.85546875" style="95" customWidth="1"/>
    <col min="13584" max="13584" width="11.85546875" style="95" customWidth="1"/>
    <col min="13585" max="13824" width="9.140625" style="95"/>
    <col min="13825" max="13825" width="36" style="95" customWidth="1"/>
    <col min="13826" max="13826" width="12.7109375" style="95" customWidth="1"/>
    <col min="13827" max="13827" width="19" style="95" customWidth="1"/>
    <col min="13828" max="13836" width="11.85546875" style="95" customWidth="1"/>
    <col min="13837" max="13839" width="12.85546875" style="95" customWidth="1"/>
    <col min="13840" max="13840" width="11.85546875" style="95" customWidth="1"/>
    <col min="13841" max="14080" width="9.140625" style="95"/>
    <col min="14081" max="14081" width="36" style="95" customWidth="1"/>
    <col min="14082" max="14082" width="12.7109375" style="95" customWidth="1"/>
    <col min="14083" max="14083" width="19" style="95" customWidth="1"/>
    <col min="14084" max="14092" width="11.85546875" style="95" customWidth="1"/>
    <col min="14093" max="14095" width="12.85546875" style="95" customWidth="1"/>
    <col min="14096" max="14096" width="11.85546875" style="95" customWidth="1"/>
    <col min="14097" max="14336" width="9.140625" style="95"/>
    <col min="14337" max="14337" width="36" style="95" customWidth="1"/>
    <col min="14338" max="14338" width="12.7109375" style="95" customWidth="1"/>
    <col min="14339" max="14339" width="19" style="95" customWidth="1"/>
    <col min="14340" max="14348" width="11.85546875" style="95" customWidth="1"/>
    <col min="14349" max="14351" width="12.85546875" style="95" customWidth="1"/>
    <col min="14352" max="14352" width="11.85546875" style="95" customWidth="1"/>
    <col min="14353" max="14592" width="9.140625" style="95"/>
    <col min="14593" max="14593" width="36" style="95" customWidth="1"/>
    <col min="14594" max="14594" width="12.7109375" style="95" customWidth="1"/>
    <col min="14595" max="14595" width="19" style="95" customWidth="1"/>
    <col min="14596" max="14604" width="11.85546875" style="95" customWidth="1"/>
    <col min="14605" max="14607" width="12.85546875" style="95" customWidth="1"/>
    <col min="14608" max="14608" width="11.85546875" style="95" customWidth="1"/>
    <col min="14609" max="14848" width="9.140625" style="95"/>
    <col min="14849" max="14849" width="36" style="95" customWidth="1"/>
    <col min="14850" max="14850" width="12.7109375" style="95" customWidth="1"/>
    <col min="14851" max="14851" width="19" style="95" customWidth="1"/>
    <col min="14852" max="14860" width="11.85546875" style="95" customWidth="1"/>
    <col min="14861" max="14863" width="12.85546875" style="95" customWidth="1"/>
    <col min="14864" max="14864" width="11.85546875" style="95" customWidth="1"/>
    <col min="14865" max="15104" width="9.140625" style="95"/>
    <col min="15105" max="15105" width="36" style="95" customWidth="1"/>
    <col min="15106" max="15106" width="12.7109375" style="95" customWidth="1"/>
    <col min="15107" max="15107" width="19" style="95" customWidth="1"/>
    <col min="15108" max="15116" width="11.85546875" style="95" customWidth="1"/>
    <col min="15117" max="15119" width="12.85546875" style="95" customWidth="1"/>
    <col min="15120" max="15120" width="11.85546875" style="95" customWidth="1"/>
    <col min="15121" max="15360" width="9.140625" style="95"/>
    <col min="15361" max="15361" width="36" style="95" customWidth="1"/>
    <col min="15362" max="15362" width="12.7109375" style="95" customWidth="1"/>
    <col min="15363" max="15363" width="19" style="95" customWidth="1"/>
    <col min="15364" max="15372" width="11.85546875" style="95" customWidth="1"/>
    <col min="15373" max="15375" width="12.85546875" style="95" customWidth="1"/>
    <col min="15376" max="15376" width="11.85546875" style="95" customWidth="1"/>
    <col min="15377" max="15616" width="9.140625" style="95"/>
    <col min="15617" max="15617" width="36" style="95" customWidth="1"/>
    <col min="15618" max="15618" width="12.7109375" style="95" customWidth="1"/>
    <col min="15619" max="15619" width="19" style="95" customWidth="1"/>
    <col min="15620" max="15628" width="11.85546875" style="95" customWidth="1"/>
    <col min="15629" max="15631" width="12.85546875" style="95" customWidth="1"/>
    <col min="15632" max="15632" width="11.85546875" style="95" customWidth="1"/>
    <col min="15633" max="15872" width="9.140625" style="95"/>
    <col min="15873" max="15873" width="36" style="95" customWidth="1"/>
    <col min="15874" max="15874" width="12.7109375" style="95" customWidth="1"/>
    <col min="15875" max="15875" width="19" style="95" customWidth="1"/>
    <col min="15876" max="15884" width="11.85546875" style="95" customWidth="1"/>
    <col min="15885" max="15887" width="12.85546875" style="95" customWidth="1"/>
    <col min="15888" max="15888" width="11.85546875" style="95" customWidth="1"/>
    <col min="15889" max="16128" width="9.140625" style="95"/>
    <col min="16129" max="16129" width="36" style="95" customWidth="1"/>
    <col min="16130" max="16130" width="12.7109375" style="95" customWidth="1"/>
    <col min="16131" max="16131" width="19" style="95" customWidth="1"/>
    <col min="16132" max="16140" width="11.85546875" style="95" customWidth="1"/>
    <col min="16141" max="16143" width="12.85546875" style="95" customWidth="1"/>
    <col min="16144" max="16144" width="11.85546875" style="95" customWidth="1"/>
    <col min="16145" max="16384" width="9.140625" style="95"/>
  </cols>
  <sheetData>
    <row r="1" spans="1:20" s="207" customFormat="1" x14ac:dyDescent="0.2">
      <c r="A1" s="104" t="s">
        <v>164</v>
      </c>
      <c r="B1" s="202"/>
      <c r="C1" s="203"/>
      <c r="D1" s="202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/>
      <c r="R1" s="206"/>
      <c r="S1" s="206"/>
      <c r="T1" s="206"/>
    </row>
    <row r="2" spans="1:20" s="207" customFormat="1" x14ac:dyDescent="0.2">
      <c r="A2" s="104" t="s">
        <v>165</v>
      </c>
      <c r="B2" s="202"/>
      <c r="C2" s="203"/>
      <c r="D2" s="202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  <c r="R2" s="206"/>
      <c r="S2" s="206"/>
      <c r="T2" s="206"/>
    </row>
    <row r="3" spans="1:20" x14ac:dyDescent="0.2">
      <c r="A3" s="208" t="s">
        <v>122</v>
      </c>
      <c r="B3" s="209"/>
    </row>
    <row r="4" spans="1:20" x14ac:dyDescent="0.2">
      <c r="A4" s="208"/>
      <c r="B4" s="209"/>
    </row>
    <row r="5" spans="1:20" x14ac:dyDescent="0.2">
      <c r="A5" s="208"/>
      <c r="B5" s="209"/>
    </row>
    <row r="6" spans="1:20" x14ac:dyDescent="0.2">
      <c r="A6" s="210" t="s">
        <v>123</v>
      </c>
      <c r="B6" s="209"/>
      <c r="C6" s="208"/>
      <c r="D6" s="210" t="s">
        <v>124</v>
      </c>
    </row>
    <row r="7" spans="1:20" ht="13.5" customHeight="1" x14ac:dyDescent="0.2">
      <c r="A7" s="211" t="s">
        <v>125</v>
      </c>
      <c r="B7" s="212" t="s">
        <v>126</v>
      </c>
      <c r="C7" s="211" t="s">
        <v>127</v>
      </c>
      <c r="D7" s="213">
        <v>40574</v>
      </c>
      <c r="E7" s="213">
        <v>40602</v>
      </c>
      <c r="F7" s="213">
        <v>40633</v>
      </c>
      <c r="G7" s="213">
        <v>40663</v>
      </c>
      <c r="H7" s="213">
        <v>40694</v>
      </c>
      <c r="I7" s="213">
        <v>40724</v>
      </c>
      <c r="J7" s="213">
        <v>40755</v>
      </c>
      <c r="K7" s="213">
        <v>40786</v>
      </c>
      <c r="L7" s="213">
        <v>40816</v>
      </c>
      <c r="M7" s="213">
        <v>40847</v>
      </c>
      <c r="N7" s="213">
        <v>40877</v>
      </c>
      <c r="O7" s="213">
        <v>40908</v>
      </c>
      <c r="P7" s="214" t="s">
        <v>128</v>
      </c>
      <c r="Q7" s="215" t="s">
        <v>129</v>
      </c>
    </row>
    <row r="8" spans="1:20" x14ac:dyDescent="0.2">
      <c r="A8" s="216" t="s">
        <v>130</v>
      </c>
      <c r="B8" s="217">
        <v>40000</v>
      </c>
      <c r="C8" s="216" t="s">
        <v>131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20000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8">
        <f t="shared" ref="P8:P15" si="0">SUM(B8)-SUM(D8:O8)</f>
        <v>20000</v>
      </c>
      <c r="Q8" s="219"/>
    </row>
    <row r="9" spans="1:20" x14ac:dyDescent="0.2">
      <c r="A9" s="216"/>
      <c r="B9" s="217"/>
      <c r="C9" s="216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8">
        <f t="shared" si="0"/>
        <v>0</v>
      </c>
      <c r="Q9" s="219"/>
    </row>
    <row r="10" spans="1:20" x14ac:dyDescent="0.2">
      <c r="A10" s="216"/>
      <c r="B10" s="217"/>
      <c r="C10" s="216"/>
      <c r="D10" s="217"/>
      <c r="E10" s="217"/>
      <c r="F10" s="217"/>
      <c r="G10" s="217"/>
      <c r="H10" s="217" t="s">
        <v>132</v>
      </c>
      <c r="I10" s="217"/>
      <c r="J10" s="217" t="s">
        <v>132</v>
      </c>
      <c r="K10" s="217" t="s">
        <v>132</v>
      </c>
      <c r="L10" s="217"/>
      <c r="M10" s="217"/>
      <c r="N10" s="217"/>
      <c r="O10" s="217" t="s">
        <v>132</v>
      </c>
      <c r="P10" s="218">
        <f t="shared" si="0"/>
        <v>0</v>
      </c>
      <c r="Q10" s="219"/>
    </row>
    <row r="11" spans="1:20" x14ac:dyDescent="0.2">
      <c r="A11" s="216"/>
      <c r="B11" s="217"/>
      <c r="C11" s="216"/>
      <c r="D11" s="217"/>
      <c r="E11" s="217"/>
      <c r="F11" s="217"/>
      <c r="G11" s="217"/>
      <c r="H11" s="217" t="s">
        <v>132</v>
      </c>
      <c r="I11" s="217"/>
      <c r="J11" s="217"/>
      <c r="K11" s="217"/>
      <c r="L11" s="217"/>
      <c r="M11" s="217"/>
      <c r="N11" s="217"/>
      <c r="O11" s="217"/>
      <c r="P11" s="218">
        <f t="shared" si="0"/>
        <v>0</v>
      </c>
      <c r="Q11" s="219"/>
    </row>
    <row r="12" spans="1:20" x14ac:dyDescent="0.2">
      <c r="A12" s="216"/>
      <c r="B12" s="217"/>
      <c r="C12" s="216"/>
      <c r="D12" s="217"/>
      <c r="E12" s="217"/>
      <c r="F12" s="217"/>
      <c r="G12" s="217"/>
      <c r="H12" s="217" t="s">
        <v>132</v>
      </c>
      <c r="I12" s="217"/>
      <c r="J12" s="217"/>
      <c r="K12" s="217"/>
      <c r="L12" s="217"/>
      <c r="M12" s="217"/>
      <c r="N12" s="217"/>
      <c r="O12" s="217"/>
      <c r="P12" s="218">
        <f t="shared" si="0"/>
        <v>0</v>
      </c>
      <c r="Q12" s="219"/>
    </row>
    <row r="13" spans="1:20" x14ac:dyDescent="0.2">
      <c r="A13" s="216"/>
      <c r="B13" s="217"/>
      <c r="C13" s="216"/>
      <c r="D13" s="217"/>
      <c r="E13" s="217"/>
      <c r="F13" s="217"/>
      <c r="G13" s="217"/>
      <c r="H13" s="217" t="s">
        <v>132</v>
      </c>
      <c r="I13" s="217"/>
      <c r="J13" s="217"/>
      <c r="K13" s="217"/>
      <c r="L13" s="217"/>
      <c r="M13" s="217"/>
      <c r="N13" s="217"/>
      <c r="O13" s="217"/>
      <c r="P13" s="218">
        <f t="shared" si="0"/>
        <v>0</v>
      </c>
      <c r="Q13" s="219"/>
    </row>
    <row r="14" spans="1:20" x14ac:dyDescent="0.2">
      <c r="A14" s="216"/>
      <c r="B14" s="217"/>
      <c r="C14" s="216"/>
      <c r="D14" s="217"/>
      <c r="E14" s="217"/>
      <c r="F14" s="217"/>
      <c r="G14" s="217"/>
      <c r="H14" s="217" t="s">
        <v>132</v>
      </c>
      <c r="I14" s="217"/>
      <c r="J14" s="217"/>
      <c r="K14" s="217"/>
      <c r="L14" s="217"/>
      <c r="M14" s="217"/>
      <c r="N14" s="217"/>
      <c r="O14" s="217"/>
      <c r="P14" s="218">
        <f t="shared" si="0"/>
        <v>0</v>
      </c>
      <c r="Q14" s="219"/>
    </row>
    <row r="15" spans="1:20" x14ac:dyDescent="0.2">
      <c r="A15" s="216"/>
      <c r="B15" s="217"/>
      <c r="C15" s="216"/>
      <c r="D15" s="217"/>
      <c r="E15" s="217"/>
      <c r="F15" s="217"/>
      <c r="G15" s="217"/>
      <c r="H15" s="217" t="s">
        <v>132</v>
      </c>
      <c r="I15" s="217"/>
      <c r="J15" s="217"/>
      <c r="K15" s="217"/>
      <c r="L15" s="217"/>
      <c r="M15" s="217"/>
      <c r="N15" s="217"/>
      <c r="O15" s="217"/>
      <c r="P15" s="218">
        <f t="shared" si="0"/>
        <v>0</v>
      </c>
      <c r="Q15" s="219"/>
    </row>
    <row r="16" spans="1:20" x14ac:dyDescent="0.2">
      <c r="A16" s="216"/>
      <c r="B16" s="217"/>
      <c r="C16" s="216"/>
      <c r="D16" s="217"/>
      <c r="E16" s="217"/>
      <c r="F16" s="217"/>
      <c r="G16" s="217"/>
      <c r="H16" s="217"/>
      <c r="I16" s="217"/>
      <c r="J16" s="217"/>
      <c r="K16" s="217" t="s">
        <v>132</v>
      </c>
      <c r="L16" s="217"/>
      <c r="M16" s="217"/>
      <c r="N16" s="217"/>
      <c r="O16" s="217"/>
      <c r="P16" s="218">
        <f>SUM(B16)-SUM(D16:O16)</f>
        <v>0</v>
      </c>
      <c r="Q16" s="219"/>
    </row>
    <row r="17" spans="1:17" x14ac:dyDescent="0.2">
      <c r="A17" s="216"/>
      <c r="B17" s="217"/>
      <c r="C17" s="216"/>
      <c r="D17" s="217"/>
      <c r="E17" s="217"/>
      <c r="F17" s="217"/>
      <c r="G17" s="217"/>
      <c r="H17" s="217"/>
      <c r="I17" s="217"/>
      <c r="J17" s="217"/>
      <c r="K17" s="217" t="s">
        <v>132</v>
      </c>
      <c r="L17" s="217"/>
      <c r="M17" s="217"/>
      <c r="N17" s="217"/>
      <c r="O17" s="217"/>
      <c r="P17" s="218">
        <f>SUM(B17)-SUM(D17:O17)</f>
        <v>0</v>
      </c>
      <c r="Q17" s="219"/>
    </row>
    <row r="18" spans="1:17" x14ac:dyDescent="0.2">
      <c r="A18" s="216"/>
      <c r="B18" s="217"/>
      <c r="C18" s="216"/>
      <c r="D18" s="217"/>
      <c r="E18" s="217"/>
      <c r="F18" s="217"/>
      <c r="G18" s="217"/>
      <c r="H18" s="217"/>
      <c r="I18" s="217"/>
      <c r="J18" s="217"/>
      <c r="K18" s="217" t="s">
        <v>132</v>
      </c>
      <c r="L18" s="217"/>
      <c r="M18" s="217"/>
      <c r="N18" s="217"/>
      <c r="O18" s="217"/>
      <c r="P18" s="218">
        <f>SUM(B18)-SUM(D18:O18)</f>
        <v>0</v>
      </c>
      <c r="Q18" s="219"/>
    </row>
    <row r="19" spans="1:17" x14ac:dyDescent="0.2">
      <c r="A19" s="216"/>
      <c r="B19" s="217"/>
      <c r="C19" s="216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8"/>
      <c r="Q19" s="219"/>
    </row>
    <row r="20" spans="1:17" x14ac:dyDescent="0.2">
      <c r="A20" s="220" t="s">
        <v>133</v>
      </c>
      <c r="B20" s="221">
        <f>SUM(B8:B18)</f>
        <v>40000</v>
      </c>
      <c r="C20" s="220" t="s">
        <v>132</v>
      </c>
      <c r="D20" s="221">
        <f t="shared" ref="D20:P20" si="1">SUM(D8:D18)</f>
        <v>0</v>
      </c>
      <c r="E20" s="221">
        <f t="shared" si="1"/>
        <v>0</v>
      </c>
      <c r="F20" s="221">
        <f t="shared" si="1"/>
        <v>0</v>
      </c>
      <c r="G20" s="221">
        <f t="shared" si="1"/>
        <v>0</v>
      </c>
      <c r="H20" s="221">
        <f t="shared" si="1"/>
        <v>0</v>
      </c>
      <c r="I20" s="221">
        <f t="shared" si="1"/>
        <v>20000</v>
      </c>
      <c r="J20" s="221">
        <f t="shared" si="1"/>
        <v>0</v>
      </c>
      <c r="K20" s="221">
        <f t="shared" si="1"/>
        <v>0</v>
      </c>
      <c r="L20" s="221">
        <f t="shared" si="1"/>
        <v>0</v>
      </c>
      <c r="M20" s="221">
        <f t="shared" si="1"/>
        <v>0</v>
      </c>
      <c r="N20" s="221">
        <f t="shared" si="1"/>
        <v>0</v>
      </c>
      <c r="O20" s="221">
        <f t="shared" si="1"/>
        <v>0</v>
      </c>
      <c r="P20" s="222">
        <f t="shared" si="1"/>
        <v>20000</v>
      </c>
      <c r="Q20" s="223">
        <f>SUM(D20:O20)</f>
        <v>20000</v>
      </c>
    </row>
    <row r="21" spans="1:17" x14ac:dyDescent="0.2">
      <c r="A21" s="216"/>
      <c r="B21" s="217"/>
      <c r="C21" s="21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8"/>
      <c r="Q21" s="219"/>
    </row>
    <row r="22" spans="1:17" x14ac:dyDescent="0.2">
      <c r="A22" s="211" t="s">
        <v>134</v>
      </c>
      <c r="B22" s="212" t="s">
        <v>126</v>
      </c>
      <c r="C22" s="211" t="s">
        <v>127</v>
      </c>
      <c r="D22" s="213">
        <f>D7</f>
        <v>40574</v>
      </c>
      <c r="E22" s="213">
        <f t="shared" ref="E22:O22" si="2">E7</f>
        <v>40602</v>
      </c>
      <c r="F22" s="213">
        <f t="shared" si="2"/>
        <v>40633</v>
      </c>
      <c r="G22" s="213">
        <f t="shared" si="2"/>
        <v>40663</v>
      </c>
      <c r="H22" s="213">
        <f t="shared" si="2"/>
        <v>40694</v>
      </c>
      <c r="I22" s="213">
        <f t="shared" si="2"/>
        <v>40724</v>
      </c>
      <c r="J22" s="213">
        <f t="shared" si="2"/>
        <v>40755</v>
      </c>
      <c r="K22" s="213">
        <f t="shared" si="2"/>
        <v>40786</v>
      </c>
      <c r="L22" s="213">
        <f t="shared" si="2"/>
        <v>40816</v>
      </c>
      <c r="M22" s="213">
        <f t="shared" si="2"/>
        <v>40847</v>
      </c>
      <c r="N22" s="213">
        <f t="shared" si="2"/>
        <v>40877</v>
      </c>
      <c r="O22" s="213">
        <f t="shared" si="2"/>
        <v>40908</v>
      </c>
      <c r="P22" s="214" t="s">
        <v>128</v>
      </c>
      <c r="Q22" s="214" t="s">
        <v>135</v>
      </c>
    </row>
    <row r="23" spans="1:17" x14ac:dyDescent="0.2">
      <c r="A23" s="216" t="s">
        <v>136</v>
      </c>
      <c r="B23" s="217">
        <v>25000</v>
      </c>
      <c r="C23" s="217">
        <v>2012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8">
        <f t="shared" ref="P23:P35" si="3">SUM(B23)-SUM(D23:O23)</f>
        <v>25000</v>
      </c>
      <c r="Q23" s="219"/>
    </row>
    <row r="24" spans="1:17" x14ac:dyDescent="0.2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8">
        <f t="shared" si="3"/>
        <v>0</v>
      </c>
      <c r="Q24" s="219"/>
    </row>
    <row r="25" spans="1:17" x14ac:dyDescent="0.2">
      <c r="A25" s="216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8">
        <f t="shared" si="3"/>
        <v>0</v>
      </c>
      <c r="Q25" s="219"/>
    </row>
    <row r="26" spans="1:17" x14ac:dyDescent="0.2">
      <c r="A26" s="216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8">
        <f t="shared" si="3"/>
        <v>0</v>
      </c>
      <c r="Q26" s="219"/>
    </row>
    <row r="27" spans="1:17" x14ac:dyDescent="0.2">
      <c r="A27" s="216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8">
        <f t="shared" si="3"/>
        <v>0</v>
      </c>
      <c r="Q27" s="219"/>
    </row>
    <row r="28" spans="1:17" x14ac:dyDescent="0.2">
      <c r="A28" s="216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8">
        <f t="shared" si="3"/>
        <v>0</v>
      </c>
      <c r="Q28" s="219"/>
    </row>
    <row r="29" spans="1:17" x14ac:dyDescent="0.2">
      <c r="A29" s="216"/>
      <c r="B29" s="217"/>
      <c r="C29" s="216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8">
        <f t="shared" si="3"/>
        <v>0</v>
      </c>
      <c r="Q29" s="219"/>
    </row>
    <row r="30" spans="1:17" x14ac:dyDescent="0.2">
      <c r="A30" s="216"/>
      <c r="B30" s="217"/>
      <c r="C30" s="216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8">
        <f t="shared" si="3"/>
        <v>0</v>
      </c>
      <c r="Q30" s="219"/>
    </row>
    <row r="31" spans="1:17" x14ac:dyDescent="0.2">
      <c r="A31" s="216"/>
      <c r="B31" s="217"/>
      <c r="C31" s="216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8">
        <f t="shared" si="3"/>
        <v>0</v>
      </c>
      <c r="Q31" s="219"/>
    </row>
    <row r="32" spans="1:17" x14ac:dyDescent="0.2">
      <c r="A32" s="216"/>
      <c r="B32" s="217"/>
      <c r="C32" s="216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8">
        <f t="shared" si="3"/>
        <v>0</v>
      </c>
      <c r="Q32" s="219"/>
    </row>
    <row r="33" spans="1:17" x14ac:dyDescent="0.2">
      <c r="A33" s="216"/>
      <c r="B33" s="217"/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8">
        <f t="shared" si="3"/>
        <v>0</v>
      </c>
      <c r="Q33" s="219"/>
    </row>
    <row r="34" spans="1:17" x14ac:dyDescent="0.2">
      <c r="A34" s="216"/>
      <c r="B34" s="217"/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8">
        <f t="shared" si="3"/>
        <v>0</v>
      </c>
      <c r="Q34" s="219"/>
    </row>
    <row r="35" spans="1:17" x14ac:dyDescent="0.2">
      <c r="A35" s="216"/>
      <c r="B35" s="217">
        <v>0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>
        <f t="shared" si="3"/>
        <v>0</v>
      </c>
      <c r="Q35" s="219"/>
    </row>
    <row r="36" spans="1:17" x14ac:dyDescent="0.2">
      <c r="A36" s="220" t="s">
        <v>137</v>
      </c>
      <c r="B36" s="221">
        <f>SUM(B20)+SUM(B23:B35)</f>
        <v>65000</v>
      </c>
      <c r="C36" s="221"/>
      <c r="D36" s="221">
        <f t="shared" ref="D36:P36" si="4">SUM(D20)+SUM(D23:D35)</f>
        <v>0</v>
      </c>
      <c r="E36" s="221">
        <f t="shared" si="4"/>
        <v>0</v>
      </c>
      <c r="F36" s="221">
        <f t="shared" si="4"/>
        <v>0</v>
      </c>
      <c r="G36" s="221">
        <f t="shared" si="4"/>
        <v>0</v>
      </c>
      <c r="H36" s="221">
        <f t="shared" si="4"/>
        <v>0</v>
      </c>
      <c r="I36" s="221">
        <f t="shared" si="4"/>
        <v>20000</v>
      </c>
      <c r="J36" s="221">
        <f t="shared" si="4"/>
        <v>0</v>
      </c>
      <c r="K36" s="221">
        <f t="shared" si="4"/>
        <v>0</v>
      </c>
      <c r="L36" s="221">
        <f t="shared" si="4"/>
        <v>0</v>
      </c>
      <c r="M36" s="221">
        <f t="shared" si="4"/>
        <v>0</v>
      </c>
      <c r="N36" s="221">
        <f t="shared" si="4"/>
        <v>0</v>
      </c>
      <c r="O36" s="221">
        <f t="shared" si="4"/>
        <v>0</v>
      </c>
      <c r="P36" s="222">
        <f t="shared" si="4"/>
        <v>45000</v>
      </c>
      <c r="Q36" s="2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"/>
  <sheetViews>
    <sheetView workbookViewId="0">
      <selection activeCell="S131" sqref="S131:S132"/>
    </sheetView>
  </sheetViews>
  <sheetFormatPr defaultColWidth="8.85546875" defaultRowHeight="12.75" outlineLevelCol="1" x14ac:dyDescent="0.2"/>
  <cols>
    <col min="1" max="1" width="18" style="12" customWidth="1"/>
    <col min="2" max="2" width="10.7109375" style="13" customWidth="1"/>
    <col min="3" max="3" width="10.5703125" style="12" customWidth="1"/>
    <col min="4" max="4" width="8.42578125" style="14" customWidth="1"/>
    <col min="5" max="5" width="10.7109375" style="51" customWidth="1"/>
    <col min="6" max="6" width="11.28515625" style="22" customWidth="1"/>
    <col min="7" max="8" width="10.85546875" style="15" customWidth="1" outlineLevel="1"/>
    <col min="9" max="9" width="10" style="15" customWidth="1" outlineLevel="1"/>
    <col min="10" max="10" width="10.7109375" style="15" customWidth="1" outlineLevel="1"/>
    <col min="11" max="12" width="11" style="15" customWidth="1" outlineLevel="1"/>
    <col min="13" max="13" width="9.42578125" style="15" customWidth="1" outlineLevel="1"/>
    <col min="14" max="15" width="9.28515625" style="15" customWidth="1" outlineLevel="1"/>
    <col min="16" max="16" width="9.140625" style="15" customWidth="1" outlineLevel="1"/>
    <col min="17" max="17" width="8.7109375" style="15" customWidth="1" outlineLevel="1"/>
    <col min="18" max="18" width="9.140625" style="15" customWidth="1" outlineLevel="1"/>
    <col min="19" max="19" width="10.5703125" style="15" customWidth="1"/>
    <col min="20" max="16384" width="8.85546875" style="16"/>
  </cols>
  <sheetData>
    <row r="1" spans="1:21" x14ac:dyDescent="0.2">
      <c r="A1" s="3" t="str">
        <f>+'Summary budget'!A1</f>
        <v>The most bestest nonprofit</v>
      </c>
    </row>
    <row r="2" spans="1:21" x14ac:dyDescent="0.2">
      <c r="A2" s="3" t="str">
        <f>+'Summary budget'!A2</f>
        <v>2014 Budget</v>
      </c>
    </row>
    <row r="3" spans="1:21" x14ac:dyDescent="0.2">
      <c r="A3" s="3" t="s">
        <v>43</v>
      </c>
    </row>
    <row r="4" spans="1:21" x14ac:dyDescent="0.2">
      <c r="G4" s="285" t="str">
        <f>'Summary budget'!A2</f>
        <v>2014 Budget</v>
      </c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5"/>
    </row>
    <row r="5" spans="1:21" s="9" customFormat="1" x14ac:dyDescent="0.2">
      <c r="A5" s="12"/>
      <c r="B5" s="13"/>
      <c r="C5" s="12"/>
      <c r="D5" s="14"/>
      <c r="E5" s="51"/>
      <c r="F5" s="22"/>
      <c r="G5" s="46" t="s">
        <v>14</v>
      </c>
      <c r="H5" s="46" t="s">
        <v>0</v>
      </c>
      <c r="I5" s="46" t="s">
        <v>1</v>
      </c>
      <c r="J5" s="46" t="s">
        <v>2</v>
      </c>
      <c r="K5" s="46" t="s">
        <v>3</v>
      </c>
      <c r="L5" s="46" t="s">
        <v>22</v>
      </c>
      <c r="M5" s="46" t="s">
        <v>23</v>
      </c>
      <c r="N5" s="46" t="s">
        <v>4</v>
      </c>
      <c r="O5" s="46" t="s">
        <v>24</v>
      </c>
      <c r="P5" s="46" t="s">
        <v>5</v>
      </c>
      <c r="Q5" s="46" t="s">
        <v>6</v>
      </c>
      <c r="R5" s="46" t="s">
        <v>7</v>
      </c>
      <c r="S5" s="46" t="s">
        <v>8</v>
      </c>
    </row>
    <row r="6" spans="1:21" ht="50.1" customHeight="1" x14ac:dyDescent="0.2">
      <c r="A6" s="4" t="s">
        <v>9</v>
      </c>
      <c r="B6" s="18" t="s">
        <v>10</v>
      </c>
      <c r="C6" s="18" t="s">
        <v>12</v>
      </c>
      <c r="D6" s="18" t="s">
        <v>21</v>
      </c>
      <c r="E6" s="52" t="s">
        <v>11</v>
      </c>
      <c r="F6" s="47" t="s">
        <v>13</v>
      </c>
    </row>
    <row r="7" spans="1:21" ht="11.25" hidden="1" customHeight="1" x14ac:dyDescent="0.2">
      <c r="G7" s="20"/>
      <c r="H7" s="20"/>
      <c r="I7" s="20"/>
      <c r="J7" s="42"/>
      <c r="K7" s="42"/>
      <c r="L7" s="42"/>
      <c r="M7" s="42"/>
      <c r="N7" s="42"/>
      <c r="O7" s="42"/>
      <c r="P7" s="42"/>
      <c r="Q7" s="42"/>
      <c r="R7" s="42"/>
      <c r="S7" s="20"/>
    </row>
    <row r="8" spans="1:21" x14ac:dyDescent="0.2">
      <c r="A8" s="50" t="s">
        <v>38</v>
      </c>
      <c r="B8" s="32">
        <v>1</v>
      </c>
      <c r="C8" s="23">
        <v>75000</v>
      </c>
      <c r="D8" s="19"/>
      <c r="E8" s="54" t="s">
        <v>36</v>
      </c>
      <c r="G8" s="20">
        <f>$C$8/12</f>
        <v>6250</v>
      </c>
      <c r="H8" s="20">
        <f t="shared" ref="H8:R8" si="0">$C$8/12</f>
        <v>6250</v>
      </c>
      <c r="I8" s="20">
        <f t="shared" si="0"/>
        <v>6250</v>
      </c>
      <c r="J8" s="20">
        <f t="shared" si="0"/>
        <v>6250</v>
      </c>
      <c r="K8" s="20">
        <f t="shared" si="0"/>
        <v>6250</v>
      </c>
      <c r="L8" s="20">
        <f t="shared" si="0"/>
        <v>6250</v>
      </c>
      <c r="M8" s="20">
        <f t="shared" si="0"/>
        <v>6250</v>
      </c>
      <c r="N8" s="20">
        <f t="shared" si="0"/>
        <v>6250</v>
      </c>
      <c r="O8" s="20">
        <f t="shared" si="0"/>
        <v>6250</v>
      </c>
      <c r="P8" s="20">
        <f t="shared" si="0"/>
        <v>6250</v>
      </c>
      <c r="Q8" s="20">
        <f t="shared" si="0"/>
        <v>6250</v>
      </c>
      <c r="R8" s="20">
        <f t="shared" si="0"/>
        <v>6250</v>
      </c>
      <c r="S8" s="28">
        <f>SUM(G8:R8)</f>
        <v>75000</v>
      </c>
    </row>
    <row r="9" spans="1:21" x14ac:dyDescent="0.2">
      <c r="A9" s="24"/>
      <c r="B9" s="45"/>
      <c r="C9" s="25"/>
      <c r="D9" s="22"/>
      <c r="E9" s="56" t="s">
        <v>30</v>
      </c>
      <c r="F9" s="57"/>
      <c r="G9" s="55">
        <f>G8*0.0765</f>
        <v>478.125</v>
      </c>
      <c r="H9" s="20">
        <f t="shared" ref="H9:R9" si="1">H8*0.0765</f>
        <v>478.125</v>
      </c>
      <c r="I9" s="20">
        <f t="shared" si="1"/>
        <v>478.125</v>
      </c>
      <c r="J9" s="20">
        <f t="shared" si="1"/>
        <v>478.125</v>
      </c>
      <c r="K9" s="20">
        <f t="shared" si="1"/>
        <v>478.125</v>
      </c>
      <c r="L9" s="20">
        <f t="shared" si="1"/>
        <v>478.125</v>
      </c>
      <c r="M9" s="20">
        <f t="shared" si="1"/>
        <v>478.125</v>
      </c>
      <c r="N9" s="20">
        <f t="shared" si="1"/>
        <v>478.125</v>
      </c>
      <c r="O9" s="20">
        <f t="shared" si="1"/>
        <v>478.125</v>
      </c>
      <c r="P9" s="20">
        <f t="shared" si="1"/>
        <v>478.125</v>
      </c>
      <c r="Q9" s="20">
        <f t="shared" si="1"/>
        <v>478.125</v>
      </c>
      <c r="R9" s="20">
        <f t="shared" si="1"/>
        <v>478.125</v>
      </c>
      <c r="S9" s="20">
        <f t="shared" ref="S9:S13" si="2">SUM(G9:R9)</f>
        <v>5737.5</v>
      </c>
    </row>
    <row r="10" spans="1:21" x14ac:dyDescent="0.2">
      <c r="A10" s="24"/>
      <c r="B10" s="45"/>
      <c r="C10" s="25"/>
      <c r="D10" s="22"/>
      <c r="E10" s="56" t="s">
        <v>31</v>
      </c>
      <c r="F10" s="57"/>
      <c r="G10" s="55">
        <f>(27000/12)*0.0175</f>
        <v>39.375000000000007</v>
      </c>
      <c r="H10" s="20">
        <f t="shared" ref="H10:R10" si="3">(27000/12)*0.0175</f>
        <v>39.375000000000007</v>
      </c>
      <c r="I10" s="20">
        <f t="shared" si="3"/>
        <v>39.375000000000007</v>
      </c>
      <c r="J10" s="20">
        <f t="shared" si="3"/>
        <v>39.375000000000007</v>
      </c>
      <c r="K10" s="20">
        <f t="shared" si="3"/>
        <v>39.375000000000007</v>
      </c>
      <c r="L10" s="20">
        <f t="shared" si="3"/>
        <v>39.375000000000007</v>
      </c>
      <c r="M10" s="20">
        <f t="shared" si="3"/>
        <v>39.375000000000007</v>
      </c>
      <c r="N10" s="20">
        <f t="shared" si="3"/>
        <v>39.375000000000007</v>
      </c>
      <c r="O10" s="20">
        <f t="shared" si="3"/>
        <v>39.375000000000007</v>
      </c>
      <c r="P10" s="20">
        <f t="shared" si="3"/>
        <v>39.375000000000007</v>
      </c>
      <c r="Q10" s="20">
        <f t="shared" si="3"/>
        <v>39.375000000000007</v>
      </c>
      <c r="R10" s="20">
        <f t="shared" si="3"/>
        <v>39.375000000000007</v>
      </c>
      <c r="S10" s="20">
        <f t="shared" si="2"/>
        <v>472.50000000000006</v>
      </c>
    </row>
    <row r="11" spans="1:21" x14ac:dyDescent="0.2">
      <c r="A11" s="24"/>
      <c r="B11" s="45"/>
      <c r="C11" s="25"/>
      <c r="D11" s="22"/>
      <c r="E11" s="56" t="s">
        <v>32</v>
      </c>
      <c r="F11" s="57"/>
      <c r="G11" s="55">
        <v>20</v>
      </c>
      <c r="H11" s="20">
        <v>20</v>
      </c>
      <c r="I11" s="20">
        <v>20</v>
      </c>
      <c r="J11" s="20">
        <v>20</v>
      </c>
      <c r="K11" s="20">
        <v>20</v>
      </c>
      <c r="L11" s="20">
        <v>20</v>
      </c>
      <c r="M11" s="20">
        <v>20</v>
      </c>
      <c r="N11" s="20">
        <v>20</v>
      </c>
      <c r="O11" s="20">
        <v>20</v>
      </c>
      <c r="P11" s="20">
        <v>20</v>
      </c>
      <c r="Q11" s="20">
        <v>20</v>
      </c>
      <c r="R11" s="20">
        <v>20</v>
      </c>
      <c r="S11" s="20">
        <f t="shared" si="2"/>
        <v>240</v>
      </c>
    </row>
    <row r="12" spans="1:21" x14ac:dyDescent="0.2">
      <c r="A12" s="24"/>
      <c r="B12" s="45"/>
      <c r="C12" s="25"/>
      <c r="D12" s="22"/>
      <c r="E12" s="56" t="s">
        <v>33</v>
      </c>
      <c r="F12" s="57"/>
      <c r="G12" s="55">
        <v>630</v>
      </c>
      <c r="H12" s="20">
        <v>630</v>
      </c>
      <c r="I12" s="20">
        <v>630</v>
      </c>
      <c r="J12" s="20">
        <v>630</v>
      </c>
      <c r="K12" s="20">
        <v>630</v>
      </c>
      <c r="L12" s="20">
        <v>630</v>
      </c>
      <c r="M12" s="20">
        <v>720</v>
      </c>
      <c r="N12" s="20">
        <v>720</v>
      </c>
      <c r="O12" s="20">
        <v>720</v>
      </c>
      <c r="P12" s="20">
        <v>720</v>
      </c>
      <c r="Q12" s="20">
        <v>720</v>
      </c>
      <c r="R12" s="20">
        <v>720</v>
      </c>
      <c r="S12" s="20">
        <f t="shared" si="2"/>
        <v>8100</v>
      </c>
    </row>
    <row r="13" spans="1:21" x14ac:dyDescent="0.2">
      <c r="A13" s="24"/>
      <c r="B13" s="45"/>
      <c r="C13" s="25"/>
      <c r="D13" s="22"/>
      <c r="E13" s="56" t="s">
        <v>34</v>
      </c>
      <c r="F13" s="57"/>
      <c r="G13" s="55">
        <f>G8*0.02</f>
        <v>125</v>
      </c>
      <c r="H13" s="20">
        <f t="shared" ref="H13:R13" si="4">H8*0.02</f>
        <v>125</v>
      </c>
      <c r="I13" s="20">
        <f t="shared" si="4"/>
        <v>125</v>
      </c>
      <c r="J13" s="20">
        <f t="shared" si="4"/>
        <v>125</v>
      </c>
      <c r="K13" s="20">
        <f t="shared" si="4"/>
        <v>125</v>
      </c>
      <c r="L13" s="20">
        <f t="shared" si="4"/>
        <v>125</v>
      </c>
      <c r="M13" s="20">
        <f t="shared" si="4"/>
        <v>125</v>
      </c>
      <c r="N13" s="20">
        <f t="shared" si="4"/>
        <v>125</v>
      </c>
      <c r="O13" s="20">
        <f t="shared" si="4"/>
        <v>125</v>
      </c>
      <c r="P13" s="20">
        <f t="shared" si="4"/>
        <v>125</v>
      </c>
      <c r="Q13" s="20">
        <f t="shared" si="4"/>
        <v>125</v>
      </c>
      <c r="R13" s="20">
        <f t="shared" si="4"/>
        <v>125</v>
      </c>
      <c r="S13" s="20">
        <f t="shared" si="2"/>
        <v>1500</v>
      </c>
    </row>
    <row r="14" spans="1:21" x14ac:dyDescent="0.2">
      <c r="A14" s="24"/>
      <c r="B14" s="45"/>
      <c r="C14" s="25"/>
      <c r="D14" s="22"/>
      <c r="E14" s="71" t="s">
        <v>35</v>
      </c>
      <c r="F14" s="58"/>
      <c r="G14" s="21">
        <f>SUM(G9:G13)</f>
        <v>1292.5</v>
      </c>
      <c r="H14" s="21">
        <f t="shared" ref="H14:R14" si="5">SUM(H9:H13)</f>
        <v>1292.5</v>
      </c>
      <c r="I14" s="21">
        <f t="shared" si="5"/>
        <v>1292.5</v>
      </c>
      <c r="J14" s="21">
        <f t="shared" si="5"/>
        <v>1292.5</v>
      </c>
      <c r="K14" s="21">
        <f t="shared" si="5"/>
        <v>1292.5</v>
      </c>
      <c r="L14" s="21">
        <f t="shared" si="5"/>
        <v>1292.5</v>
      </c>
      <c r="M14" s="21">
        <f t="shared" si="5"/>
        <v>1382.5</v>
      </c>
      <c r="N14" s="21">
        <f t="shared" si="5"/>
        <v>1382.5</v>
      </c>
      <c r="O14" s="21">
        <f t="shared" si="5"/>
        <v>1382.5</v>
      </c>
      <c r="P14" s="21">
        <f t="shared" si="5"/>
        <v>1382.5</v>
      </c>
      <c r="Q14" s="21">
        <f t="shared" si="5"/>
        <v>1382.5</v>
      </c>
      <c r="R14" s="21">
        <f t="shared" si="5"/>
        <v>1382.5</v>
      </c>
      <c r="S14" s="80">
        <f>SUM(G14:R14)</f>
        <v>16050</v>
      </c>
    </row>
    <row r="15" spans="1:21" x14ac:dyDescent="0.2">
      <c r="A15" s="41"/>
      <c r="B15" s="76" t="s">
        <v>37</v>
      </c>
      <c r="C15" s="77"/>
      <c r="D15" s="73"/>
      <c r="E15" s="59" t="s">
        <v>27</v>
      </c>
      <c r="F15" s="60">
        <v>0.2</v>
      </c>
      <c r="G15" s="61">
        <f>(G8+G14)*$F$15</f>
        <v>1508.5</v>
      </c>
      <c r="H15" s="61">
        <f t="shared" ref="H15:R15" si="6">(H8+H14)*$F$15</f>
        <v>1508.5</v>
      </c>
      <c r="I15" s="61">
        <f t="shared" si="6"/>
        <v>1508.5</v>
      </c>
      <c r="J15" s="61">
        <f t="shared" si="6"/>
        <v>1508.5</v>
      </c>
      <c r="K15" s="61">
        <f t="shared" si="6"/>
        <v>1508.5</v>
      </c>
      <c r="L15" s="61">
        <f t="shared" si="6"/>
        <v>1508.5</v>
      </c>
      <c r="M15" s="61">
        <f>(M8+M14)*$F$15</f>
        <v>1526.5</v>
      </c>
      <c r="N15" s="61">
        <f t="shared" si="6"/>
        <v>1526.5</v>
      </c>
      <c r="O15" s="61">
        <f t="shared" si="6"/>
        <v>1526.5</v>
      </c>
      <c r="P15" s="61">
        <f t="shared" si="6"/>
        <v>1526.5</v>
      </c>
      <c r="Q15" s="61">
        <f t="shared" si="6"/>
        <v>1526.5</v>
      </c>
      <c r="R15" s="61">
        <f t="shared" si="6"/>
        <v>1526.5</v>
      </c>
      <c r="S15" s="61">
        <f>SUM(G15:R15)</f>
        <v>18210</v>
      </c>
      <c r="U15" s="33"/>
    </row>
    <row r="16" spans="1:21" x14ac:dyDescent="0.2">
      <c r="A16" s="13"/>
      <c r="B16" s="24"/>
      <c r="C16" s="25"/>
      <c r="D16" s="73"/>
      <c r="E16" s="64" t="s">
        <v>28</v>
      </c>
      <c r="F16" s="65">
        <v>0.17</v>
      </c>
      <c r="G16" s="66">
        <f>(G8+G14)*$F$16</f>
        <v>1282.2250000000001</v>
      </c>
      <c r="H16" s="66">
        <f t="shared" ref="H16:R16" si="7">(H8+H14)*$F$16</f>
        <v>1282.2250000000001</v>
      </c>
      <c r="I16" s="66">
        <f t="shared" si="7"/>
        <v>1282.2250000000001</v>
      </c>
      <c r="J16" s="66">
        <f t="shared" si="7"/>
        <v>1282.2250000000001</v>
      </c>
      <c r="K16" s="66">
        <f t="shared" si="7"/>
        <v>1282.2250000000001</v>
      </c>
      <c r="L16" s="66">
        <f t="shared" si="7"/>
        <v>1282.2250000000001</v>
      </c>
      <c r="M16" s="66">
        <f>(M8+M14)*$F$16</f>
        <v>1297.5250000000001</v>
      </c>
      <c r="N16" s="66">
        <f t="shared" si="7"/>
        <v>1297.5250000000001</v>
      </c>
      <c r="O16" s="66">
        <f t="shared" si="7"/>
        <v>1297.5250000000001</v>
      </c>
      <c r="P16" s="66">
        <f t="shared" si="7"/>
        <v>1297.5250000000001</v>
      </c>
      <c r="Q16" s="66">
        <f t="shared" si="7"/>
        <v>1297.5250000000001</v>
      </c>
      <c r="R16" s="66">
        <f t="shared" si="7"/>
        <v>1297.5250000000001</v>
      </c>
      <c r="S16" s="66">
        <f t="shared" ref="S16:S19" si="8">SUM(G16:R16)</f>
        <v>15478.5</v>
      </c>
    </row>
    <row r="17" spans="1:21" x14ac:dyDescent="0.2">
      <c r="A17" s="13"/>
      <c r="B17" s="24"/>
      <c r="C17" s="25"/>
      <c r="D17" s="73"/>
      <c r="E17" s="67" t="s">
        <v>15</v>
      </c>
      <c r="F17" s="62">
        <v>0.3</v>
      </c>
      <c r="G17" s="63">
        <f>(G8+G14)*$F$17</f>
        <v>2262.75</v>
      </c>
      <c r="H17" s="63">
        <f t="shared" ref="H17:R17" si="9">(H8+H14)*$F$17</f>
        <v>2262.75</v>
      </c>
      <c r="I17" s="63">
        <f t="shared" si="9"/>
        <v>2262.75</v>
      </c>
      <c r="J17" s="63">
        <f t="shared" si="9"/>
        <v>2262.75</v>
      </c>
      <c r="K17" s="63">
        <f t="shared" si="9"/>
        <v>2262.75</v>
      </c>
      <c r="L17" s="63">
        <f t="shared" si="9"/>
        <v>2262.75</v>
      </c>
      <c r="M17" s="63">
        <f t="shared" si="9"/>
        <v>2289.75</v>
      </c>
      <c r="N17" s="63">
        <f t="shared" si="9"/>
        <v>2289.75</v>
      </c>
      <c r="O17" s="63">
        <f t="shared" si="9"/>
        <v>2289.75</v>
      </c>
      <c r="P17" s="63">
        <f t="shared" si="9"/>
        <v>2289.75</v>
      </c>
      <c r="Q17" s="63">
        <f t="shared" si="9"/>
        <v>2289.75</v>
      </c>
      <c r="R17" s="63">
        <f t="shared" si="9"/>
        <v>2289.75</v>
      </c>
      <c r="S17" s="63">
        <f>SUM(G17:R17)</f>
        <v>27315</v>
      </c>
    </row>
    <row r="18" spans="1:21" x14ac:dyDescent="0.2">
      <c r="A18" s="13"/>
      <c r="B18" s="24"/>
      <c r="C18" s="25"/>
      <c r="D18" s="73"/>
      <c r="E18" s="267" t="s">
        <v>158</v>
      </c>
      <c r="F18" s="268">
        <v>0.08</v>
      </c>
      <c r="G18" s="270">
        <f>(G8+G14)*$F$18</f>
        <v>603.4</v>
      </c>
      <c r="H18" s="270">
        <f t="shared" ref="H18:R18" si="10">(H8+H14)*$F$18</f>
        <v>603.4</v>
      </c>
      <c r="I18" s="270">
        <f t="shared" si="10"/>
        <v>603.4</v>
      </c>
      <c r="J18" s="270">
        <f t="shared" si="10"/>
        <v>603.4</v>
      </c>
      <c r="K18" s="270">
        <f t="shared" si="10"/>
        <v>603.4</v>
      </c>
      <c r="L18" s="270">
        <f t="shared" si="10"/>
        <v>603.4</v>
      </c>
      <c r="M18" s="270">
        <f t="shared" si="10"/>
        <v>610.6</v>
      </c>
      <c r="N18" s="270">
        <f t="shared" si="10"/>
        <v>610.6</v>
      </c>
      <c r="O18" s="270">
        <f t="shared" si="10"/>
        <v>610.6</v>
      </c>
      <c r="P18" s="270">
        <f t="shared" si="10"/>
        <v>610.6</v>
      </c>
      <c r="Q18" s="270">
        <f t="shared" si="10"/>
        <v>610.6</v>
      </c>
      <c r="R18" s="270">
        <f t="shared" si="10"/>
        <v>610.6</v>
      </c>
      <c r="S18" s="269">
        <f>SUM(G18:R18)</f>
        <v>7284.0000000000018</v>
      </c>
    </row>
    <row r="19" spans="1:21" x14ac:dyDescent="0.2">
      <c r="A19" s="43"/>
      <c r="B19" s="24"/>
      <c r="C19" s="74"/>
      <c r="D19" s="75"/>
      <c r="E19" s="68" t="s">
        <v>29</v>
      </c>
      <c r="F19" s="69">
        <v>0.25</v>
      </c>
      <c r="G19" s="70">
        <f>(G8+G14)*$F$19</f>
        <v>1885.625</v>
      </c>
      <c r="H19" s="70">
        <f t="shared" ref="H19:R19" si="11">(H8+H14)*$F$19</f>
        <v>1885.625</v>
      </c>
      <c r="I19" s="70">
        <f t="shared" si="11"/>
        <v>1885.625</v>
      </c>
      <c r="J19" s="70">
        <f t="shared" si="11"/>
        <v>1885.625</v>
      </c>
      <c r="K19" s="70">
        <f t="shared" si="11"/>
        <v>1885.625</v>
      </c>
      <c r="L19" s="70">
        <f t="shared" si="11"/>
        <v>1885.625</v>
      </c>
      <c r="M19" s="70">
        <f t="shared" si="11"/>
        <v>1908.125</v>
      </c>
      <c r="N19" s="70">
        <f t="shared" si="11"/>
        <v>1908.125</v>
      </c>
      <c r="O19" s="70">
        <f t="shared" si="11"/>
        <v>1908.125</v>
      </c>
      <c r="P19" s="70">
        <f t="shared" si="11"/>
        <v>1908.125</v>
      </c>
      <c r="Q19" s="70">
        <f t="shared" si="11"/>
        <v>1908.125</v>
      </c>
      <c r="R19" s="70">
        <f t="shared" si="11"/>
        <v>1908.125</v>
      </c>
      <c r="S19" s="70">
        <f t="shared" si="8"/>
        <v>22762.5</v>
      </c>
    </row>
    <row r="20" spans="1:21" x14ac:dyDescent="0.2">
      <c r="A20" s="43"/>
      <c r="B20" s="24"/>
      <c r="C20" s="74"/>
      <c r="D20" s="75"/>
      <c r="E20" s="72" t="s">
        <v>8</v>
      </c>
      <c r="F20" s="48">
        <f>SUM(F15:F19)</f>
        <v>0.99999999999999989</v>
      </c>
      <c r="G20" s="21">
        <f>SUM(G15:G19)</f>
        <v>7542.5</v>
      </c>
      <c r="H20" s="21">
        <f t="shared" ref="H20:R20" si="12">SUM(H15:H19)</f>
        <v>7542.5</v>
      </c>
      <c r="I20" s="21">
        <f t="shared" si="12"/>
        <v>7542.5</v>
      </c>
      <c r="J20" s="21">
        <f t="shared" si="12"/>
        <v>7542.5</v>
      </c>
      <c r="K20" s="21">
        <f t="shared" si="12"/>
        <v>7542.5</v>
      </c>
      <c r="L20" s="21">
        <f t="shared" si="12"/>
        <v>7542.5</v>
      </c>
      <c r="M20" s="21">
        <f t="shared" si="12"/>
        <v>7632.5</v>
      </c>
      <c r="N20" s="21">
        <f t="shared" si="12"/>
        <v>7632.5</v>
      </c>
      <c r="O20" s="21">
        <f t="shared" si="12"/>
        <v>7632.5</v>
      </c>
      <c r="P20" s="21">
        <f t="shared" si="12"/>
        <v>7632.5</v>
      </c>
      <c r="Q20" s="21">
        <f t="shared" si="12"/>
        <v>7632.5</v>
      </c>
      <c r="R20" s="21">
        <f t="shared" si="12"/>
        <v>7632.5</v>
      </c>
      <c r="S20" s="80">
        <f>SUM(G20:R20)</f>
        <v>91050</v>
      </c>
    </row>
    <row r="21" spans="1:21" ht="11.25" customHeight="1" x14ac:dyDescent="0.2">
      <c r="G21" s="20"/>
      <c r="H21" s="20"/>
      <c r="I21" s="20"/>
      <c r="J21" s="42"/>
      <c r="K21" s="42"/>
      <c r="L21" s="42"/>
      <c r="M21" s="42"/>
      <c r="N21" s="42"/>
      <c r="O21" s="42"/>
      <c r="P21" s="42"/>
      <c r="Q21" s="42"/>
      <c r="R21" s="42"/>
      <c r="S21" s="20"/>
    </row>
    <row r="22" spans="1:21" x14ac:dyDescent="0.2">
      <c r="A22" s="50" t="s">
        <v>159</v>
      </c>
      <c r="B22" s="32">
        <v>2</v>
      </c>
      <c r="C22" s="23">
        <v>55000</v>
      </c>
      <c r="D22" s="19"/>
      <c r="E22" s="54" t="s">
        <v>36</v>
      </c>
      <c r="G22" s="20">
        <f>$C$22/12</f>
        <v>4583.333333333333</v>
      </c>
      <c r="H22" s="20">
        <f t="shared" ref="H22:R22" si="13">$C$22/12</f>
        <v>4583.333333333333</v>
      </c>
      <c r="I22" s="20">
        <f t="shared" si="13"/>
        <v>4583.333333333333</v>
      </c>
      <c r="J22" s="20">
        <f t="shared" si="13"/>
        <v>4583.333333333333</v>
      </c>
      <c r="K22" s="20">
        <f t="shared" si="13"/>
        <v>4583.333333333333</v>
      </c>
      <c r="L22" s="20">
        <f t="shared" si="13"/>
        <v>4583.333333333333</v>
      </c>
      <c r="M22" s="20">
        <f t="shared" si="13"/>
        <v>4583.333333333333</v>
      </c>
      <c r="N22" s="20">
        <f t="shared" si="13"/>
        <v>4583.333333333333</v>
      </c>
      <c r="O22" s="20">
        <f t="shared" si="13"/>
        <v>4583.333333333333</v>
      </c>
      <c r="P22" s="20">
        <f t="shared" si="13"/>
        <v>4583.333333333333</v>
      </c>
      <c r="Q22" s="20">
        <f t="shared" si="13"/>
        <v>4583.333333333333</v>
      </c>
      <c r="R22" s="20">
        <f t="shared" si="13"/>
        <v>4583.333333333333</v>
      </c>
      <c r="S22" s="28">
        <f>SUM(G22:R22)</f>
        <v>55000.000000000007</v>
      </c>
    </row>
    <row r="23" spans="1:21" x14ac:dyDescent="0.2">
      <c r="A23" s="24"/>
      <c r="B23" s="45"/>
      <c r="C23" s="25"/>
      <c r="D23" s="22"/>
      <c r="E23" s="56" t="s">
        <v>30</v>
      </c>
      <c r="F23" s="57"/>
      <c r="G23" s="55">
        <f>G22*0.0765</f>
        <v>350.62499999999994</v>
      </c>
      <c r="H23" s="20">
        <f t="shared" ref="H23" si="14">H22*0.0765</f>
        <v>350.62499999999994</v>
      </c>
      <c r="I23" s="20">
        <f t="shared" ref="I23" si="15">I22*0.0765</f>
        <v>350.62499999999994</v>
      </c>
      <c r="J23" s="20">
        <f t="shared" ref="J23" si="16">J22*0.0765</f>
        <v>350.62499999999994</v>
      </c>
      <c r="K23" s="20">
        <f t="shared" ref="K23" si="17">K22*0.0765</f>
        <v>350.62499999999994</v>
      </c>
      <c r="L23" s="20">
        <f t="shared" ref="L23" si="18">L22*0.0765</f>
        <v>350.62499999999994</v>
      </c>
      <c r="M23" s="20">
        <f t="shared" ref="M23" si="19">M22*0.0765</f>
        <v>350.62499999999994</v>
      </c>
      <c r="N23" s="20">
        <f t="shared" ref="N23" si="20">N22*0.0765</f>
        <v>350.62499999999994</v>
      </c>
      <c r="O23" s="20">
        <f t="shared" ref="O23" si="21">O22*0.0765</f>
        <v>350.62499999999994</v>
      </c>
      <c r="P23" s="20">
        <f t="shared" ref="P23" si="22">P22*0.0765</f>
        <v>350.62499999999994</v>
      </c>
      <c r="Q23" s="20">
        <f t="shared" ref="Q23" si="23">Q22*0.0765</f>
        <v>350.62499999999994</v>
      </c>
      <c r="R23" s="20">
        <f t="shared" ref="R23" si="24">R22*0.0765</f>
        <v>350.62499999999994</v>
      </c>
      <c r="S23" s="20">
        <f t="shared" ref="S23:S27" si="25">SUM(G23:R23)</f>
        <v>4207.4999999999991</v>
      </c>
    </row>
    <row r="24" spans="1:21" x14ac:dyDescent="0.2">
      <c r="A24" s="24"/>
      <c r="B24" s="45"/>
      <c r="C24" s="25"/>
      <c r="D24" s="22"/>
      <c r="E24" s="56" t="s">
        <v>31</v>
      </c>
      <c r="F24" s="57"/>
      <c r="G24" s="55">
        <f>(27000/12)*0.0175</f>
        <v>39.375000000000007</v>
      </c>
      <c r="H24" s="20">
        <f t="shared" ref="H24:R24" si="26">(27000/12)*0.0175</f>
        <v>39.375000000000007</v>
      </c>
      <c r="I24" s="20">
        <f t="shared" si="26"/>
        <v>39.375000000000007</v>
      </c>
      <c r="J24" s="20">
        <f t="shared" si="26"/>
        <v>39.375000000000007</v>
      </c>
      <c r="K24" s="20">
        <f t="shared" si="26"/>
        <v>39.375000000000007</v>
      </c>
      <c r="L24" s="20">
        <f t="shared" si="26"/>
        <v>39.375000000000007</v>
      </c>
      <c r="M24" s="20">
        <f t="shared" si="26"/>
        <v>39.375000000000007</v>
      </c>
      <c r="N24" s="20">
        <f t="shared" si="26"/>
        <v>39.375000000000007</v>
      </c>
      <c r="O24" s="20">
        <f t="shared" si="26"/>
        <v>39.375000000000007</v>
      </c>
      <c r="P24" s="20">
        <f t="shared" si="26"/>
        <v>39.375000000000007</v>
      </c>
      <c r="Q24" s="20">
        <f t="shared" si="26"/>
        <v>39.375000000000007</v>
      </c>
      <c r="R24" s="20">
        <f t="shared" si="26"/>
        <v>39.375000000000007</v>
      </c>
      <c r="S24" s="20">
        <f t="shared" si="25"/>
        <v>472.50000000000006</v>
      </c>
    </row>
    <row r="25" spans="1:21" x14ac:dyDescent="0.2">
      <c r="A25" s="24"/>
      <c r="B25" s="45"/>
      <c r="C25" s="25"/>
      <c r="D25" s="22"/>
      <c r="E25" s="56" t="s">
        <v>32</v>
      </c>
      <c r="F25" s="57"/>
      <c r="G25" s="55">
        <v>20</v>
      </c>
      <c r="H25" s="20">
        <v>20</v>
      </c>
      <c r="I25" s="20">
        <v>20</v>
      </c>
      <c r="J25" s="20">
        <v>20</v>
      </c>
      <c r="K25" s="20">
        <v>20</v>
      </c>
      <c r="L25" s="20">
        <v>20</v>
      </c>
      <c r="M25" s="20">
        <v>20</v>
      </c>
      <c r="N25" s="20">
        <v>20</v>
      </c>
      <c r="O25" s="20">
        <v>20</v>
      </c>
      <c r="P25" s="20">
        <v>20</v>
      </c>
      <c r="Q25" s="20">
        <v>20</v>
      </c>
      <c r="R25" s="20">
        <v>20</v>
      </c>
      <c r="S25" s="20">
        <f t="shared" si="25"/>
        <v>240</v>
      </c>
    </row>
    <row r="26" spans="1:21" x14ac:dyDescent="0.2">
      <c r="A26" s="24"/>
      <c r="B26" s="45"/>
      <c r="C26" s="25"/>
      <c r="D26" s="22"/>
      <c r="E26" s="56" t="s">
        <v>33</v>
      </c>
      <c r="F26" s="57"/>
      <c r="G26" s="55">
        <v>630</v>
      </c>
      <c r="H26" s="20">
        <v>630</v>
      </c>
      <c r="I26" s="20">
        <v>630</v>
      </c>
      <c r="J26" s="20">
        <v>630</v>
      </c>
      <c r="K26" s="20">
        <v>630</v>
      </c>
      <c r="L26" s="20">
        <v>630</v>
      </c>
      <c r="M26" s="20">
        <v>720</v>
      </c>
      <c r="N26" s="20">
        <v>720</v>
      </c>
      <c r="O26" s="20">
        <v>720</v>
      </c>
      <c r="P26" s="20">
        <v>720</v>
      </c>
      <c r="Q26" s="20">
        <v>720</v>
      </c>
      <c r="R26" s="20">
        <v>720</v>
      </c>
      <c r="S26" s="20">
        <f t="shared" si="25"/>
        <v>8100</v>
      </c>
    </row>
    <row r="27" spans="1:21" x14ac:dyDescent="0.2">
      <c r="A27" s="24"/>
      <c r="B27" s="45"/>
      <c r="C27" s="25"/>
      <c r="D27" s="22"/>
      <c r="E27" s="56" t="s">
        <v>34</v>
      </c>
      <c r="F27" s="57"/>
      <c r="G27" s="55">
        <f>G22*0.02</f>
        <v>91.666666666666657</v>
      </c>
      <c r="H27" s="20">
        <f t="shared" ref="H27:R27" si="27">H22*0.02</f>
        <v>91.666666666666657</v>
      </c>
      <c r="I27" s="20">
        <f t="shared" si="27"/>
        <v>91.666666666666657</v>
      </c>
      <c r="J27" s="20">
        <f t="shared" si="27"/>
        <v>91.666666666666657</v>
      </c>
      <c r="K27" s="20">
        <f t="shared" si="27"/>
        <v>91.666666666666657</v>
      </c>
      <c r="L27" s="20">
        <f t="shared" si="27"/>
        <v>91.666666666666657</v>
      </c>
      <c r="M27" s="20">
        <f t="shared" si="27"/>
        <v>91.666666666666657</v>
      </c>
      <c r="N27" s="20">
        <f t="shared" si="27"/>
        <v>91.666666666666657</v>
      </c>
      <c r="O27" s="20">
        <f t="shared" si="27"/>
        <v>91.666666666666657</v>
      </c>
      <c r="P27" s="20">
        <f t="shared" si="27"/>
        <v>91.666666666666657</v>
      </c>
      <c r="Q27" s="20">
        <f t="shared" si="27"/>
        <v>91.666666666666657</v>
      </c>
      <c r="R27" s="20">
        <f t="shared" si="27"/>
        <v>91.666666666666657</v>
      </c>
      <c r="S27" s="20">
        <f t="shared" si="25"/>
        <v>1099.9999999999998</v>
      </c>
    </row>
    <row r="28" spans="1:21" x14ac:dyDescent="0.2">
      <c r="A28" s="24"/>
      <c r="B28" s="45"/>
      <c r="C28" s="25"/>
      <c r="D28" s="22"/>
      <c r="E28" s="71" t="s">
        <v>35</v>
      </c>
      <c r="F28" s="58"/>
      <c r="G28" s="21">
        <f>SUM(G23:G27)</f>
        <v>1131.6666666666667</v>
      </c>
      <c r="H28" s="21">
        <f t="shared" ref="H28" si="28">SUM(H23:H27)</f>
        <v>1131.6666666666667</v>
      </c>
      <c r="I28" s="21">
        <f t="shared" ref="I28" si="29">SUM(I23:I27)</f>
        <v>1131.6666666666667</v>
      </c>
      <c r="J28" s="21">
        <f t="shared" ref="J28" si="30">SUM(J23:J27)</f>
        <v>1131.6666666666667</v>
      </c>
      <c r="K28" s="21">
        <f t="shared" ref="K28" si="31">SUM(K23:K27)</f>
        <v>1131.6666666666667</v>
      </c>
      <c r="L28" s="21">
        <f t="shared" ref="L28" si="32">SUM(L23:L27)</f>
        <v>1131.6666666666667</v>
      </c>
      <c r="M28" s="21">
        <f t="shared" ref="M28" si="33">SUM(M23:M27)</f>
        <v>1221.6666666666667</v>
      </c>
      <c r="N28" s="21">
        <f t="shared" ref="N28" si="34">SUM(N23:N27)</f>
        <v>1221.6666666666667</v>
      </c>
      <c r="O28" s="21">
        <f t="shared" ref="O28" si="35">SUM(O23:O27)</f>
        <v>1221.6666666666667</v>
      </c>
      <c r="P28" s="21">
        <f t="shared" ref="P28" si="36">SUM(P23:P27)</f>
        <v>1221.6666666666667</v>
      </c>
      <c r="Q28" s="21">
        <f t="shared" ref="Q28" si="37">SUM(Q23:Q27)</f>
        <v>1221.6666666666667</v>
      </c>
      <c r="R28" s="21">
        <f t="shared" ref="R28" si="38">SUM(R23:R27)</f>
        <v>1221.6666666666667</v>
      </c>
      <c r="S28" s="80">
        <f>SUM(G28:R28)</f>
        <v>14119.999999999998</v>
      </c>
    </row>
    <row r="29" spans="1:21" x14ac:dyDescent="0.2">
      <c r="A29" s="41"/>
      <c r="B29" s="76" t="s">
        <v>37</v>
      </c>
      <c r="C29" s="77"/>
      <c r="D29" s="73"/>
      <c r="E29" s="59" t="s">
        <v>27</v>
      </c>
      <c r="F29" s="60">
        <v>0.15</v>
      </c>
      <c r="G29" s="61">
        <f>(G22+G28)*$F$29</f>
        <v>857.25</v>
      </c>
      <c r="H29" s="61">
        <f t="shared" ref="H29:R29" si="39">(H22+H28)*$F$29</f>
        <v>857.25</v>
      </c>
      <c r="I29" s="61">
        <f t="shared" si="39"/>
        <v>857.25</v>
      </c>
      <c r="J29" s="61">
        <f t="shared" si="39"/>
        <v>857.25</v>
      </c>
      <c r="K29" s="61">
        <f t="shared" si="39"/>
        <v>857.25</v>
      </c>
      <c r="L29" s="61">
        <f t="shared" si="39"/>
        <v>857.25</v>
      </c>
      <c r="M29" s="61">
        <f t="shared" si="39"/>
        <v>870.75</v>
      </c>
      <c r="N29" s="61">
        <f t="shared" si="39"/>
        <v>870.75</v>
      </c>
      <c r="O29" s="61">
        <f t="shared" si="39"/>
        <v>870.75</v>
      </c>
      <c r="P29" s="61">
        <f t="shared" si="39"/>
        <v>870.75</v>
      </c>
      <c r="Q29" s="61">
        <f t="shared" si="39"/>
        <v>870.75</v>
      </c>
      <c r="R29" s="61">
        <f t="shared" si="39"/>
        <v>870.75</v>
      </c>
      <c r="S29" s="61">
        <f>SUM(G29:R29)</f>
        <v>10368</v>
      </c>
      <c r="U29" s="33"/>
    </row>
    <row r="30" spans="1:21" x14ac:dyDescent="0.2">
      <c r="A30" s="13"/>
      <c r="B30" s="24"/>
      <c r="C30" s="25"/>
      <c r="D30" s="73"/>
      <c r="E30" s="64" t="s">
        <v>28</v>
      </c>
      <c r="F30" s="65">
        <v>0.1</v>
      </c>
      <c r="G30" s="66">
        <f>(G22+G28)*$F$30</f>
        <v>571.5</v>
      </c>
      <c r="H30" s="66">
        <f t="shared" ref="H30:R30" si="40">(H22+H28)*$F$30</f>
        <v>571.5</v>
      </c>
      <c r="I30" s="66">
        <f t="shared" si="40"/>
        <v>571.5</v>
      </c>
      <c r="J30" s="66">
        <f t="shared" si="40"/>
        <v>571.5</v>
      </c>
      <c r="K30" s="66">
        <f t="shared" si="40"/>
        <v>571.5</v>
      </c>
      <c r="L30" s="66">
        <f t="shared" si="40"/>
        <v>571.5</v>
      </c>
      <c r="M30" s="66">
        <f t="shared" si="40"/>
        <v>580.5</v>
      </c>
      <c r="N30" s="66">
        <f t="shared" si="40"/>
        <v>580.5</v>
      </c>
      <c r="O30" s="66">
        <f t="shared" si="40"/>
        <v>580.5</v>
      </c>
      <c r="P30" s="66">
        <f t="shared" si="40"/>
        <v>580.5</v>
      </c>
      <c r="Q30" s="66">
        <f t="shared" si="40"/>
        <v>580.5</v>
      </c>
      <c r="R30" s="66">
        <f t="shared" si="40"/>
        <v>580.5</v>
      </c>
      <c r="S30" s="66">
        <f t="shared" ref="S30" si="41">SUM(G30:R30)</f>
        <v>6912</v>
      </c>
    </row>
    <row r="31" spans="1:21" x14ac:dyDescent="0.2">
      <c r="A31" s="13"/>
      <c r="B31" s="24"/>
      <c r="C31" s="25"/>
      <c r="D31" s="73"/>
      <c r="E31" s="67" t="s">
        <v>15</v>
      </c>
      <c r="F31" s="62">
        <v>0.15</v>
      </c>
      <c r="G31" s="63">
        <f>(G22+G28)*$F$31</f>
        <v>857.25</v>
      </c>
      <c r="H31" s="63">
        <f t="shared" ref="H31:R31" si="42">(H22+H28)*$F$31</f>
        <v>857.25</v>
      </c>
      <c r="I31" s="63">
        <f t="shared" si="42"/>
        <v>857.25</v>
      </c>
      <c r="J31" s="63">
        <f t="shared" si="42"/>
        <v>857.25</v>
      </c>
      <c r="K31" s="63">
        <f t="shared" si="42"/>
        <v>857.25</v>
      </c>
      <c r="L31" s="63">
        <f t="shared" si="42"/>
        <v>857.25</v>
      </c>
      <c r="M31" s="63">
        <f t="shared" si="42"/>
        <v>870.75</v>
      </c>
      <c r="N31" s="63">
        <f t="shared" si="42"/>
        <v>870.75</v>
      </c>
      <c r="O31" s="63">
        <f t="shared" si="42"/>
        <v>870.75</v>
      </c>
      <c r="P31" s="63">
        <f t="shared" si="42"/>
        <v>870.75</v>
      </c>
      <c r="Q31" s="63">
        <f t="shared" si="42"/>
        <v>870.75</v>
      </c>
      <c r="R31" s="63">
        <f t="shared" si="42"/>
        <v>870.75</v>
      </c>
      <c r="S31" s="63">
        <f>SUM(G31:R31)</f>
        <v>10368</v>
      </c>
    </row>
    <row r="32" spans="1:21" x14ac:dyDescent="0.2">
      <c r="A32" s="13"/>
      <c r="B32" s="24"/>
      <c r="C32" s="25"/>
      <c r="D32" s="73"/>
      <c r="E32" s="271" t="s">
        <v>158</v>
      </c>
      <c r="F32" s="268">
        <v>0.4</v>
      </c>
      <c r="G32" s="269">
        <f>(G22+G28)*$F$32</f>
        <v>2286</v>
      </c>
      <c r="H32" s="269">
        <f t="shared" ref="H32:R32" si="43">(H22+H28)*$F$32</f>
        <v>2286</v>
      </c>
      <c r="I32" s="269">
        <f t="shared" si="43"/>
        <v>2286</v>
      </c>
      <c r="J32" s="269">
        <f t="shared" si="43"/>
        <v>2286</v>
      </c>
      <c r="K32" s="269">
        <f t="shared" si="43"/>
        <v>2286</v>
      </c>
      <c r="L32" s="269">
        <f t="shared" si="43"/>
        <v>2286</v>
      </c>
      <c r="M32" s="269">
        <f t="shared" si="43"/>
        <v>2322</v>
      </c>
      <c r="N32" s="269">
        <f t="shared" si="43"/>
        <v>2322</v>
      </c>
      <c r="O32" s="269">
        <f t="shared" si="43"/>
        <v>2322</v>
      </c>
      <c r="P32" s="269">
        <f t="shared" si="43"/>
        <v>2322</v>
      </c>
      <c r="Q32" s="269">
        <f t="shared" si="43"/>
        <v>2322</v>
      </c>
      <c r="R32" s="269">
        <f t="shared" si="43"/>
        <v>2322</v>
      </c>
      <c r="S32" s="269">
        <f>SUM(G32:R32)</f>
        <v>27648</v>
      </c>
    </row>
    <row r="33" spans="1:21" x14ac:dyDescent="0.2">
      <c r="A33" s="43"/>
      <c r="B33" s="24"/>
      <c r="C33" s="74"/>
      <c r="D33" s="75"/>
      <c r="E33" s="68" t="s">
        <v>29</v>
      </c>
      <c r="F33" s="69">
        <v>0.2</v>
      </c>
      <c r="G33" s="70">
        <f>(G22+G28)*$F$33</f>
        <v>1143</v>
      </c>
      <c r="H33" s="70">
        <f t="shared" ref="H33:R33" si="44">(H22+H28)*$F$33</f>
        <v>1143</v>
      </c>
      <c r="I33" s="70">
        <f t="shared" si="44"/>
        <v>1143</v>
      </c>
      <c r="J33" s="70">
        <f t="shared" si="44"/>
        <v>1143</v>
      </c>
      <c r="K33" s="70">
        <f t="shared" si="44"/>
        <v>1143</v>
      </c>
      <c r="L33" s="70">
        <f t="shared" si="44"/>
        <v>1143</v>
      </c>
      <c r="M33" s="70">
        <f t="shared" si="44"/>
        <v>1161</v>
      </c>
      <c r="N33" s="70">
        <f t="shared" si="44"/>
        <v>1161</v>
      </c>
      <c r="O33" s="70">
        <f t="shared" si="44"/>
        <v>1161</v>
      </c>
      <c r="P33" s="70">
        <f t="shared" si="44"/>
        <v>1161</v>
      </c>
      <c r="Q33" s="70">
        <f t="shared" si="44"/>
        <v>1161</v>
      </c>
      <c r="R33" s="70">
        <f t="shared" si="44"/>
        <v>1161</v>
      </c>
      <c r="S33" s="70">
        <f t="shared" ref="S33:S34" si="45">SUM(G33:R33)</f>
        <v>13824</v>
      </c>
    </row>
    <row r="34" spans="1:21" x14ac:dyDescent="0.2">
      <c r="A34" s="43"/>
      <c r="B34" s="24"/>
      <c r="C34" s="74"/>
      <c r="D34" s="75"/>
      <c r="E34" s="72" t="s">
        <v>8</v>
      </c>
      <c r="F34" s="48">
        <f>SUM(F29:F33)</f>
        <v>1</v>
      </c>
      <c r="G34" s="21">
        <f>SUM(G29:G33)</f>
        <v>5715</v>
      </c>
      <c r="H34" s="21">
        <f t="shared" ref="H34" si="46">SUM(H29:H33)</f>
        <v>5715</v>
      </c>
      <c r="I34" s="21">
        <f t="shared" ref="I34" si="47">SUM(I29:I33)</f>
        <v>5715</v>
      </c>
      <c r="J34" s="21">
        <f t="shared" ref="J34" si="48">SUM(J29:J33)</f>
        <v>5715</v>
      </c>
      <c r="K34" s="21">
        <f t="shared" ref="K34" si="49">SUM(K29:K33)</f>
        <v>5715</v>
      </c>
      <c r="L34" s="21">
        <f t="shared" ref="L34" si="50">SUM(L29:L33)</f>
        <v>5715</v>
      </c>
      <c r="M34" s="21">
        <f t="shared" ref="M34" si="51">SUM(M29:M33)</f>
        <v>5805</v>
      </c>
      <c r="N34" s="21">
        <f t="shared" ref="N34" si="52">SUM(N29:N33)</f>
        <v>5805</v>
      </c>
      <c r="O34" s="21">
        <f t="shared" ref="O34" si="53">SUM(O29:O33)</f>
        <v>5805</v>
      </c>
      <c r="P34" s="21">
        <f t="shared" ref="P34" si="54">SUM(P29:P33)</f>
        <v>5805</v>
      </c>
      <c r="Q34" s="21">
        <f t="shared" ref="Q34" si="55">SUM(Q29:Q33)</f>
        <v>5805</v>
      </c>
      <c r="R34" s="21">
        <f t="shared" ref="R34" si="56">SUM(R29:R33)</f>
        <v>5805</v>
      </c>
      <c r="S34" s="80">
        <f t="shared" si="45"/>
        <v>69120</v>
      </c>
    </row>
    <row r="35" spans="1:21" ht="11.25" customHeight="1" x14ac:dyDescent="0.2">
      <c r="G35" s="20"/>
      <c r="H35" s="20"/>
      <c r="I35" s="20"/>
      <c r="J35" s="42"/>
      <c r="K35" s="42"/>
      <c r="L35" s="42"/>
      <c r="M35" s="42"/>
      <c r="N35" s="42"/>
      <c r="O35" s="42"/>
      <c r="P35" s="42"/>
      <c r="Q35" s="42"/>
      <c r="R35" s="42"/>
      <c r="S35" s="20"/>
    </row>
    <row r="36" spans="1:21" x14ac:dyDescent="0.2">
      <c r="A36" s="79" t="s">
        <v>16</v>
      </c>
      <c r="B36" s="32">
        <v>3</v>
      </c>
      <c r="C36" s="23">
        <v>45000</v>
      </c>
      <c r="D36" s="19"/>
      <c r="E36" s="54" t="s">
        <v>36</v>
      </c>
      <c r="G36" s="20">
        <f>$C$36/12</f>
        <v>3750</v>
      </c>
      <c r="H36" s="20">
        <f t="shared" ref="H36:R36" si="57">$C$36/12</f>
        <v>3750</v>
      </c>
      <c r="I36" s="20">
        <f t="shared" si="57"/>
        <v>3750</v>
      </c>
      <c r="J36" s="20">
        <f t="shared" si="57"/>
        <v>3750</v>
      </c>
      <c r="K36" s="20">
        <f t="shared" si="57"/>
        <v>3750</v>
      </c>
      <c r="L36" s="20">
        <f t="shared" si="57"/>
        <v>3750</v>
      </c>
      <c r="M36" s="20">
        <f t="shared" si="57"/>
        <v>3750</v>
      </c>
      <c r="N36" s="20">
        <f t="shared" si="57"/>
        <v>3750</v>
      </c>
      <c r="O36" s="20">
        <f t="shared" si="57"/>
        <v>3750</v>
      </c>
      <c r="P36" s="20">
        <f t="shared" si="57"/>
        <v>3750</v>
      </c>
      <c r="Q36" s="20">
        <f t="shared" si="57"/>
        <v>3750</v>
      </c>
      <c r="R36" s="20">
        <f t="shared" si="57"/>
        <v>3750</v>
      </c>
      <c r="S36" s="28">
        <f>SUM(G36:R36)</f>
        <v>45000</v>
      </c>
    </row>
    <row r="37" spans="1:21" x14ac:dyDescent="0.2">
      <c r="A37" s="24"/>
      <c r="B37" s="45"/>
      <c r="C37" s="25"/>
      <c r="D37" s="22"/>
      <c r="E37" s="56" t="s">
        <v>30</v>
      </c>
      <c r="F37" s="57"/>
      <c r="G37" s="55">
        <f>G36*0.0765</f>
        <v>286.875</v>
      </c>
      <c r="H37" s="20">
        <f t="shared" ref="H37" si="58">H36*0.0765</f>
        <v>286.875</v>
      </c>
      <c r="I37" s="20">
        <f t="shared" ref="I37" si="59">I36*0.0765</f>
        <v>286.875</v>
      </c>
      <c r="J37" s="20">
        <f t="shared" ref="J37" si="60">J36*0.0765</f>
        <v>286.875</v>
      </c>
      <c r="K37" s="20">
        <f t="shared" ref="K37" si="61">K36*0.0765</f>
        <v>286.875</v>
      </c>
      <c r="L37" s="20">
        <f t="shared" ref="L37" si="62">L36*0.0765</f>
        <v>286.875</v>
      </c>
      <c r="M37" s="20">
        <f t="shared" ref="M37" si="63">M36*0.0765</f>
        <v>286.875</v>
      </c>
      <c r="N37" s="20">
        <f t="shared" ref="N37" si="64">N36*0.0765</f>
        <v>286.875</v>
      </c>
      <c r="O37" s="20">
        <f t="shared" ref="O37" si="65">O36*0.0765</f>
        <v>286.875</v>
      </c>
      <c r="P37" s="20">
        <f t="shared" ref="P37" si="66">P36*0.0765</f>
        <v>286.875</v>
      </c>
      <c r="Q37" s="20">
        <f t="shared" ref="Q37" si="67">Q36*0.0765</f>
        <v>286.875</v>
      </c>
      <c r="R37" s="20">
        <f t="shared" ref="R37" si="68">R36*0.0765</f>
        <v>286.875</v>
      </c>
      <c r="S37" s="20">
        <f t="shared" ref="S37:S41" si="69">SUM(G37:R37)</f>
        <v>3442.5</v>
      </c>
    </row>
    <row r="38" spans="1:21" x14ac:dyDescent="0.2">
      <c r="A38" s="24"/>
      <c r="B38" s="45"/>
      <c r="C38" s="25"/>
      <c r="D38" s="22"/>
      <c r="E38" s="56" t="s">
        <v>31</v>
      </c>
      <c r="F38" s="57"/>
      <c r="G38" s="55">
        <f>(27000/12)*0.0175</f>
        <v>39.375000000000007</v>
      </c>
      <c r="H38" s="20">
        <f t="shared" ref="H38:R38" si="70">(27000/12)*0.0175</f>
        <v>39.375000000000007</v>
      </c>
      <c r="I38" s="20">
        <f t="shared" si="70"/>
        <v>39.375000000000007</v>
      </c>
      <c r="J38" s="20">
        <f t="shared" si="70"/>
        <v>39.375000000000007</v>
      </c>
      <c r="K38" s="20">
        <f t="shared" si="70"/>
        <v>39.375000000000007</v>
      </c>
      <c r="L38" s="20">
        <f t="shared" si="70"/>
        <v>39.375000000000007</v>
      </c>
      <c r="M38" s="20">
        <f t="shared" si="70"/>
        <v>39.375000000000007</v>
      </c>
      <c r="N38" s="20">
        <f t="shared" si="70"/>
        <v>39.375000000000007</v>
      </c>
      <c r="O38" s="20">
        <f t="shared" si="70"/>
        <v>39.375000000000007</v>
      </c>
      <c r="P38" s="20">
        <f t="shared" si="70"/>
        <v>39.375000000000007</v>
      </c>
      <c r="Q38" s="20">
        <f t="shared" si="70"/>
        <v>39.375000000000007</v>
      </c>
      <c r="R38" s="20">
        <f t="shared" si="70"/>
        <v>39.375000000000007</v>
      </c>
      <c r="S38" s="20">
        <f t="shared" si="69"/>
        <v>472.50000000000006</v>
      </c>
    </row>
    <row r="39" spans="1:21" x14ac:dyDescent="0.2">
      <c r="A39" s="24"/>
      <c r="B39" s="45"/>
      <c r="C39" s="25"/>
      <c r="D39" s="22"/>
      <c r="E39" s="56" t="s">
        <v>32</v>
      </c>
      <c r="F39" s="57"/>
      <c r="G39" s="55">
        <v>20</v>
      </c>
      <c r="H39" s="20">
        <v>20</v>
      </c>
      <c r="I39" s="20">
        <v>20</v>
      </c>
      <c r="J39" s="20">
        <v>20</v>
      </c>
      <c r="K39" s="20">
        <v>20</v>
      </c>
      <c r="L39" s="20">
        <v>20</v>
      </c>
      <c r="M39" s="20">
        <v>20</v>
      </c>
      <c r="N39" s="20">
        <v>20</v>
      </c>
      <c r="O39" s="20">
        <v>20</v>
      </c>
      <c r="P39" s="20">
        <v>20</v>
      </c>
      <c r="Q39" s="20">
        <v>20</v>
      </c>
      <c r="R39" s="20">
        <v>20</v>
      </c>
      <c r="S39" s="20">
        <f t="shared" si="69"/>
        <v>240</v>
      </c>
    </row>
    <row r="40" spans="1:21" x14ac:dyDescent="0.2">
      <c r="A40" s="24"/>
      <c r="B40" s="45"/>
      <c r="C40" s="25"/>
      <c r="D40" s="22"/>
      <c r="E40" s="56" t="s">
        <v>33</v>
      </c>
      <c r="F40" s="57"/>
      <c r="G40" s="55">
        <v>630</v>
      </c>
      <c r="H40" s="20">
        <v>630</v>
      </c>
      <c r="I40" s="20">
        <v>630</v>
      </c>
      <c r="J40" s="20">
        <v>630</v>
      </c>
      <c r="K40" s="20">
        <v>630</v>
      </c>
      <c r="L40" s="20">
        <v>630</v>
      </c>
      <c r="M40" s="20">
        <v>720</v>
      </c>
      <c r="N40" s="20">
        <v>720</v>
      </c>
      <c r="O40" s="20">
        <v>720</v>
      </c>
      <c r="P40" s="20">
        <v>720</v>
      </c>
      <c r="Q40" s="20">
        <v>720</v>
      </c>
      <c r="R40" s="20">
        <v>720</v>
      </c>
      <c r="S40" s="20">
        <f t="shared" si="69"/>
        <v>8100</v>
      </c>
    </row>
    <row r="41" spans="1:21" x14ac:dyDescent="0.2">
      <c r="A41" s="24"/>
      <c r="B41" s="45"/>
      <c r="C41" s="25"/>
      <c r="D41" s="22"/>
      <c r="E41" s="56" t="s">
        <v>34</v>
      </c>
      <c r="F41" s="57"/>
      <c r="G41" s="55">
        <f>G36*0.02</f>
        <v>75</v>
      </c>
      <c r="H41" s="20">
        <f t="shared" ref="H41:R41" si="71">H36*0.02</f>
        <v>75</v>
      </c>
      <c r="I41" s="20">
        <f t="shared" si="71"/>
        <v>75</v>
      </c>
      <c r="J41" s="20">
        <f t="shared" si="71"/>
        <v>75</v>
      </c>
      <c r="K41" s="20">
        <f t="shared" si="71"/>
        <v>75</v>
      </c>
      <c r="L41" s="20">
        <f t="shared" si="71"/>
        <v>75</v>
      </c>
      <c r="M41" s="20">
        <f t="shared" si="71"/>
        <v>75</v>
      </c>
      <c r="N41" s="20">
        <f t="shared" si="71"/>
        <v>75</v>
      </c>
      <c r="O41" s="20">
        <f t="shared" si="71"/>
        <v>75</v>
      </c>
      <c r="P41" s="20">
        <f t="shared" si="71"/>
        <v>75</v>
      </c>
      <c r="Q41" s="20">
        <f t="shared" si="71"/>
        <v>75</v>
      </c>
      <c r="R41" s="20">
        <f t="shared" si="71"/>
        <v>75</v>
      </c>
      <c r="S41" s="20">
        <f t="shared" si="69"/>
        <v>900</v>
      </c>
    </row>
    <row r="42" spans="1:21" x14ac:dyDescent="0.2">
      <c r="A42" s="24"/>
      <c r="B42" s="45"/>
      <c r="C42" s="25"/>
      <c r="D42" s="22"/>
      <c r="E42" s="71" t="s">
        <v>35</v>
      </c>
      <c r="F42" s="58"/>
      <c r="G42" s="21">
        <f>SUM(G37:G41)</f>
        <v>1051.25</v>
      </c>
      <c r="H42" s="21">
        <f t="shared" ref="H42" si="72">SUM(H37:H41)</f>
        <v>1051.25</v>
      </c>
      <c r="I42" s="21">
        <f t="shared" ref="I42" si="73">SUM(I37:I41)</f>
        <v>1051.25</v>
      </c>
      <c r="J42" s="21">
        <f t="shared" ref="J42" si="74">SUM(J37:J41)</f>
        <v>1051.25</v>
      </c>
      <c r="K42" s="21">
        <f t="shared" ref="K42" si="75">SUM(K37:K41)</f>
        <v>1051.25</v>
      </c>
      <c r="L42" s="21">
        <f t="shared" ref="L42" si="76">SUM(L37:L41)</f>
        <v>1051.25</v>
      </c>
      <c r="M42" s="21">
        <f t="shared" ref="M42" si="77">SUM(M37:M41)</f>
        <v>1141.25</v>
      </c>
      <c r="N42" s="21">
        <f t="shared" ref="N42" si="78">SUM(N37:N41)</f>
        <v>1141.25</v>
      </c>
      <c r="O42" s="21">
        <f t="shared" ref="O42" si="79">SUM(O37:O41)</f>
        <v>1141.25</v>
      </c>
      <c r="P42" s="21">
        <f t="shared" ref="P42" si="80">SUM(P37:P41)</f>
        <v>1141.25</v>
      </c>
      <c r="Q42" s="21">
        <f t="shared" ref="Q42" si="81">SUM(Q37:Q41)</f>
        <v>1141.25</v>
      </c>
      <c r="R42" s="21">
        <f t="shared" ref="R42" si="82">SUM(R37:R41)</f>
        <v>1141.25</v>
      </c>
      <c r="S42" s="80">
        <f>SUM(G42:R42)</f>
        <v>13155</v>
      </c>
    </row>
    <row r="43" spans="1:21" x14ac:dyDescent="0.2">
      <c r="A43" s="41"/>
      <c r="B43" s="76" t="s">
        <v>37</v>
      </c>
      <c r="C43" s="77"/>
      <c r="D43" s="73"/>
      <c r="E43" s="59" t="s">
        <v>27</v>
      </c>
      <c r="F43" s="60">
        <v>0.95</v>
      </c>
      <c r="G43" s="61">
        <f>(G36+G42)*$F$43</f>
        <v>4561.1875</v>
      </c>
      <c r="H43" s="61">
        <f t="shared" ref="H43:R43" si="83">(H36+H42)*$F$43</f>
        <v>4561.1875</v>
      </c>
      <c r="I43" s="61">
        <f t="shared" si="83"/>
        <v>4561.1875</v>
      </c>
      <c r="J43" s="61">
        <f t="shared" si="83"/>
        <v>4561.1875</v>
      </c>
      <c r="K43" s="61">
        <f t="shared" si="83"/>
        <v>4561.1875</v>
      </c>
      <c r="L43" s="61">
        <f t="shared" si="83"/>
        <v>4561.1875</v>
      </c>
      <c r="M43" s="61">
        <f t="shared" si="83"/>
        <v>4646.6875</v>
      </c>
      <c r="N43" s="61">
        <f t="shared" si="83"/>
        <v>4646.6875</v>
      </c>
      <c r="O43" s="61">
        <f t="shared" si="83"/>
        <v>4646.6875</v>
      </c>
      <c r="P43" s="61">
        <f t="shared" si="83"/>
        <v>4646.6875</v>
      </c>
      <c r="Q43" s="61">
        <f t="shared" si="83"/>
        <v>4646.6875</v>
      </c>
      <c r="R43" s="61">
        <f t="shared" si="83"/>
        <v>4646.6875</v>
      </c>
      <c r="S43" s="61">
        <f>SUM(G43:R43)</f>
        <v>55247.25</v>
      </c>
      <c r="U43" s="33"/>
    </row>
    <row r="44" spans="1:21" x14ac:dyDescent="0.2">
      <c r="A44" s="13"/>
      <c r="B44" s="24"/>
      <c r="C44" s="25"/>
      <c r="D44" s="73"/>
      <c r="E44" s="64" t="s">
        <v>28</v>
      </c>
      <c r="F44" s="65"/>
      <c r="G44" s="66">
        <f>(G36+G42)*$F$44</f>
        <v>0</v>
      </c>
      <c r="H44" s="66">
        <f t="shared" ref="H44:R44" si="84">(H36+H42)*$F$44</f>
        <v>0</v>
      </c>
      <c r="I44" s="66">
        <f t="shared" si="84"/>
        <v>0</v>
      </c>
      <c r="J44" s="66">
        <f t="shared" si="84"/>
        <v>0</v>
      </c>
      <c r="K44" s="66">
        <f t="shared" si="84"/>
        <v>0</v>
      </c>
      <c r="L44" s="66">
        <f t="shared" si="84"/>
        <v>0</v>
      </c>
      <c r="M44" s="66">
        <f t="shared" si="84"/>
        <v>0</v>
      </c>
      <c r="N44" s="66">
        <f t="shared" si="84"/>
        <v>0</v>
      </c>
      <c r="O44" s="66">
        <f t="shared" si="84"/>
        <v>0</v>
      </c>
      <c r="P44" s="66">
        <f t="shared" si="84"/>
        <v>0</v>
      </c>
      <c r="Q44" s="66">
        <f t="shared" si="84"/>
        <v>0</v>
      </c>
      <c r="R44" s="66">
        <f t="shared" si="84"/>
        <v>0</v>
      </c>
      <c r="S44" s="66">
        <f t="shared" ref="S44" si="85">SUM(G44:R44)</f>
        <v>0</v>
      </c>
    </row>
    <row r="45" spans="1:21" x14ac:dyDescent="0.2">
      <c r="A45" s="13"/>
      <c r="B45" s="24"/>
      <c r="C45" s="25"/>
      <c r="D45" s="73"/>
      <c r="E45" s="67" t="s">
        <v>15</v>
      </c>
      <c r="F45" s="62">
        <v>0.05</v>
      </c>
      <c r="G45" s="63">
        <f>(G36+G42)*$F$45</f>
        <v>240.0625</v>
      </c>
      <c r="H45" s="63">
        <f t="shared" ref="H45:R45" si="86">(H36+H42)*$F$45</f>
        <v>240.0625</v>
      </c>
      <c r="I45" s="63">
        <f t="shared" si="86"/>
        <v>240.0625</v>
      </c>
      <c r="J45" s="63">
        <f t="shared" si="86"/>
        <v>240.0625</v>
      </c>
      <c r="K45" s="63">
        <f t="shared" si="86"/>
        <v>240.0625</v>
      </c>
      <c r="L45" s="63">
        <f t="shared" si="86"/>
        <v>240.0625</v>
      </c>
      <c r="M45" s="63">
        <f t="shared" si="86"/>
        <v>244.5625</v>
      </c>
      <c r="N45" s="63">
        <f t="shared" si="86"/>
        <v>244.5625</v>
      </c>
      <c r="O45" s="63">
        <f t="shared" si="86"/>
        <v>244.5625</v>
      </c>
      <c r="P45" s="63">
        <f t="shared" si="86"/>
        <v>244.5625</v>
      </c>
      <c r="Q45" s="63">
        <f t="shared" si="86"/>
        <v>244.5625</v>
      </c>
      <c r="R45" s="63">
        <f t="shared" si="86"/>
        <v>244.5625</v>
      </c>
      <c r="S45" s="63">
        <f>SUM(G45:R45)</f>
        <v>2907.75</v>
      </c>
    </row>
    <row r="46" spans="1:21" x14ac:dyDescent="0.2">
      <c r="A46" s="43"/>
      <c r="B46" s="24"/>
      <c r="C46" s="74"/>
      <c r="D46" s="75"/>
      <c r="E46" s="68" t="s">
        <v>29</v>
      </c>
      <c r="F46" s="69"/>
      <c r="G46" s="70">
        <f>(G36+G42)*$F$46</f>
        <v>0</v>
      </c>
      <c r="H46" s="70">
        <f t="shared" ref="H46:R46" si="87">(H36+H42)*$F$46</f>
        <v>0</v>
      </c>
      <c r="I46" s="70">
        <f t="shared" si="87"/>
        <v>0</v>
      </c>
      <c r="J46" s="70">
        <f t="shared" si="87"/>
        <v>0</v>
      </c>
      <c r="K46" s="70">
        <f t="shared" si="87"/>
        <v>0</v>
      </c>
      <c r="L46" s="70">
        <f t="shared" si="87"/>
        <v>0</v>
      </c>
      <c r="M46" s="70">
        <f t="shared" si="87"/>
        <v>0</v>
      </c>
      <c r="N46" s="70">
        <f t="shared" si="87"/>
        <v>0</v>
      </c>
      <c r="O46" s="70">
        <f t="shared" si="87"/>
        <v>0</v>
      </c>
      <c r="P46" s="70">
        <f t="shared" si="87"/>
        <v>0</v>
      </c>
      <c r="Q46" s="70">
        <f t="shared" si="87"/>
        <v>0</v>
      </c>
      <c r="R46" s="70">
        <f t="shared" si="87"/>
        <v>0</v>
      </c>
      <c r="S46" s="70">
        <f t="shared" ref="S46:S47" si="88">SUM(G46:R46)</f>
        <v>0</v>
      </c>
    </row>
    <row r="47" spans="1:21" x14ac:dyDescent="0.2">
      <c r="A47" s="43"/>
      <c r="B47" s="24"/>
      <c r="C47" s="74"/>
      <c r="D47" s="75"/>
      <c r="E47" s="72" t="s">
        <v>8</v>
      </c>
      <c r="F47" s="48">
        <f>SUM(F43:F46)</f>
        <v>1</v>
      </c>
      <c r="G47" s="21">
        <f>SUM(G43:G46)</f>
        <v>4801.25</v>
      </c>
      <c r="H47" s="21">
        <f t="shared" ref="H47" si="89">SUM(H43:H46)</f>
        <v>4801.25</v>
      </c>
      <c r="I47" s="21">
        <f t="shared" ref="I47" si="90">SUM(I43:I46)</f>
        <v>4801.25</v>
      </c>
      <c r="J47" s="21">
        <f t="shared" ref="J47" si="91">SUM(J43:J46)</f>
        <v>4801.25</v>
      </c>
      <c r="K47" s="21">
        <f t="shared" ref="K47" si="92">SUM(K43:K46)</f>
        <v>4801.25</v>
      </c>
      <c r="L47" s="21">
        <f t="shared" ref="L47" si="93">SUM(L43:L46)</f>
        <v>4801.25</v>
      </c>
      <c r="M47" s="21">
        <f t="shared" ref="M47" si="94">SUM(M43:M46)</f>
        <v>4891.25</v>
      </c>
      <c r="N47" s="21">
        <f t="shared" ref="N47" si="95">SUM(N43:N46)</f>
        <v>4891.25</v>
      </c>
      <c r="O47" s="21">
        <f t="shared" ref="O47" si="96">SUM(O43:O46)</f>
        <v>4891.25</v>
      </c>
      <c r="P47" s="21">
        <f t="shared" ref="P47" si="97">SUM(P43:P46)</f>
        <v>4891.25</v>
      </c>
      <c r="Q47" s="21">
        <f t="shared" ref="Q47" si="98">SUM(Q43:Q46)</f>
        <v>4891.25</v>
      </c>
      <c r="R47" s="21">
        <f t="shared" ref="R47" si="99">SUM(R43:R46)</f>
        <v>4891.25</v>
      </c>
      <c r="S47" s="80">
        <f t="shared" si="88"/>
        <v>58155</v>
      </c>
    </row>
    <row r="48" spans="1:21" ht="11.25" customHeight="1" x14ac:dyDescent="0.2">
      <c r="G48" s="20"/>
      <c r="H48" s="20"/>
      <c r="I48" s="20"/>
      <c r="J48" s="42"/>
      <c r="K48" s="42"/>
      <c r="L48" s="42"/>
      <c r="M48" s="42"/>
      <c r="N48" s="42"/>
      <c r="O48" s="42"/>
      <c r="P48" s="42"/>
      <c r="Q48" s="42"/>
      <c r="R48" s="42"/>
      <c r="S48" s="20"/>
    </row>
    <row r="49" spans="1:21" x14ac:dyDescent="0.2">
      <c r="A49" s="79" t="s">
        <v>17</v>
      </c>
      <c r="B49" s="32">
        <v>4</v>
      </c>
      <c r="C49" s="23">
        <v>43500</v>
      </c>
      <c r="D49" s="19"/>
      <c r="E49" s="54" t="s">
        <v>36</v>
      </c>
      <c r="G49" s="20">
        <f>$C$49/12</f>
        <v>3625</v>
      </c>
      <c r="H49" s="20">
        <f t="shared" ref="H49:R49" si="100">$C$49/12</f>
        <v>3625</v>
      </c>
      <c r="I49" s="20">
        <f t="shared" si="100"/>
        <v>3625</v>
      </c>
      <c r="J49" s="20">
        <f t="shared" si="100"/>
        <v>3625</v>
      </c>
      <c r="K49" s="20">
        <f t="shared" si="100"/>
        <v>3625</v>
      </c>
      <c r="L49" s="20">
        <f t="shared" si="100"/>
        <v>3625</v>
      </c>
      <c r="M49" s="20">
        <f t="shared" si="100"/>
        <v>3625</v>
      </c>
      <c r="N49" s="20">
        <f t="shared" si="100"/>
        <v>3625</v>
      </c>
      <c r="O49" s="20">
        <f t="shared" si="100"/>
        <v>3625</v>
      </c>
      <c r="P49" s="20">
        <f t="shared" si="100"/>
        <v>3625</v>
      </c>
      <c r="Q49" s="20">
        <f t="shared" si="100"/>
        <v>3625</v>
      </c>
      <c r="R49" s="20">
        <f t="shared" si="100"/>
        <v>3625</v>
      </c>
      <c r="S49" s="28">
        <f>SUM(G49:R49)</f>
        <v>43500</v>
      </c>
    </row>
    <row r="50" spans="1:21" x14ac:dyDescent="0.2">
      <c r="A50" s="24"/>
      <c r="B50" s="45"/>
      <c r="C50" s="25"/>
      <c r="D50" s="22"/>
      <c r="E50" s="56" t="s">
        <v>30</v>
      </c>
      <c r="F50" s="57"/>
      <c r="G50" s="55">
        <f>G49*0.0765</f>
        <v>277.3125</v>
      </c>
      <c r="H50" s="20">
        <f t="shared" ref="H50" si="101">H49*0.0765</f>
        <v>277.3125</v>
      </c>
      <c r="I50" s="20">
        <f t="shared" ref="I50" si="102">I49*0.0765</f>
        <v>277.3125</v>
      </c>
      <c r="J50" s="20">
        <f t="shared" ref="J50" si="103">J49*0.0765</f>
        <v>277.3125</v>
      </c>
      <c r="K50" s="20">
        <f t="shared" ref="K50" si="104">K49*0.0765</f>
        <v>277.3125</v>
      </c>
      <c r="L50" s="20">
        <f t="shared" ref="L50" si="105">L49*0.0765</f>
        <v>277.3125</v>
      </c>
      <c r="M50" s="20">
        <f t="shared" ref="M50" si="106">M49*0.0765</f>
        <v>277.3125</v>
      </c>
      <c r="N50" s="20">
        <f t="shared" ref="N50" si="107">N49*0.0765</f>
        <v>277.3125</v>
      </c>
      <c r="O50" s="20">
        <f t="shared" ref="O50" si="108">O49*0.0765</f>
        <v>277.3125</v>
      </c>
      <c r="P50" s="20">
        <f t="shared" ref="P50" si="109">P49*0.0765</f>
        <v>277.3125</v>
      </c>
      <c r="Q50" s="20">
        <f t="shared" ref="Q50" si="110">Q49*0.0765</f>
        <v>277.3125</v>
      </c>
      <c r="R50" s="20">
        <f t="shared" ref="R50" si="111">R49*0.0765</f>
        <v>277.3125</v>
      </c>
      <c r="S50" s="20">
        <f t="shared" ref="S50:S54" si="112">SUM(G50:R50)</f>
        <v>3327.75</v>
      </c>
    </row>
    <row r="51" spans="1:21" x14ac:dyDescent="0.2">
      <c r="A51" s="24"/>
      <c r="B51" s="45"/>
      <c r="C51" s="25"/>
      <c r="D51" s="22"/>
      <c r="E51" s="56" t="s">
        <v>31</v>
      </c>
      <c r="F51" s="57"/>
      <c r="G51" s="55">
        <f>(27000/12)*0.0175</f>
        <v>39.375000000000007</v>
      </c>
      <c r="H51" s="20">
        <f t="shared" ref="H51:R51" si="113">(27000/12)*0.0175</f>
        <v>39.375000000000007</v>
      </c>
      <c r="I51" s="20">
        <f t="shared" si="113"/>
        <v>39.375000000000007</v>
      </c>
      <c r="J51" s="20">
        <f t="shared" si="113"/>
        <v>39.375000000000007</v>
      </c>
      <c r="K51" s="20">
        <f t="shared" si="113"/>
        <v>39.375000000000007</v>
      </c>
      <c r="L51" s="20">
        <f t="shared" si="113"/>
        <v>39.375000000000007</v>
      </c>
      <c r="M51" s="20">
        <f t="shared" si="113"/>
        <v>39.375000000000007</v>
      </c>
      <c r="N51" s="20">
        <f t="shared" si="113"/>
        <v>39.375000000000007</v>
      </c>
      <c r="O51" s="20">
        <f t="shared" si="113"/>
        <v>39.375000000000007</v>
      </c>
      <c r="P51" s="20">
        <f t="shared" si="113"/>
        <v>39.375000000000007</v>
      </c>
      <c r="Q51" s="20">
        <f t="shared" si="113"/>
        <v>39.375000000000007</v>
      </c>
      <c r="R51" s="20">
        <f t="shared" si="113"/>
        <v>39.375000000000007</v>
      </c>
      <c r="S51" s="20">
        <f t="shared" si="112"/>
        <v>472.50000000000006</v>
      </c>
    </row>
    <row r="52" spans="1:21" x14ac:dyDescent="0.2">
      <c r="A52" s="24"/>
      <c r="B52" s="45"/>
      <c r="C52" s="25"/>
      <c r="D52" s="22"/>
      <c r="E52" s="56" t="s">
        <v>32</v>
      </c>
      <c r="F52" s="57"/>
      <c r="G52" s="55">
        <v>20</v>
      </c>
      <c r="H52" s="20">
        <v>20</v>
      </c>
      <c r="I52" s="20">
        <v>20</v>
      </c>
      <c r="J52" s="20">
        <v>20</v>
      </c>
      <c r="K52" s="20">
        <v>20</v>
      </c>
      <c r="L52" s="20">
        <v>20</v>
      </c>
      <c r="M52" s="20">
        <v>20</v>
      </c>
      <c r="N52" s="20">
        <v>20</v>
      </c>
      <c r="O52" s="20">
        <v>20</v>
      </c>
      <c r="P52" s="20">
        <v>20</v>
      </c>
      <c r="Q52" s="20">
        <v>20</v>
      </c>
      <c r="R52" s="20">
        <v>20</v>
      </c>
      <c r="S52" s="20">
        <f t="shared" si="112"/>
        <v>240</v>
      </c>
    </row>
    <row r="53" spans="1:21" x14ac:dyDescent="0.2">
      <c r="A53" s="24"/>
      <c r="B53" s="45"/>
      <c r="C53" s="25"/>
      <c r="D53" s="22"/>
      <c r="E53" s="56" t="s">
        <v>33</v>
      </c>
      <c r="F53" s="57"/>
      <c r="G53" s="55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>
        <f t="shared" si="112"/>
        <v>0</v>
      </c>
    </row>
    <row r="54" spans="1:21" x14ac:dyDescent="0.2">
      <c r="A54" s="24"/>
      <c r="B54" s="45"/>
      <c r="C54" s="25"/>
      <c r="D54" s="22"/>
      <c r="E54" s="56" t="s">
        <v>34</v>
      </c>
      <c r="F54" s="57"/>
      <c r="G54" s="55">
        <f>G49*0.02</f>
        <v>72.5</v>
      </c>
      <c r="H54" s="20">
        <f t="shared" ref="H54:R54" si="114">H49*0.02</f>
        <v>72.5</v>
      </c>
      <c r="I54" s="20">
        <f t="shared" si="114"/>
        <v>72.5</v>
      </c>
      <c r="J54" s="20">
        <f t="shared" si="114"/>
        <v>72.5</v>
      </c>
      <c r="K54" s="20">
        <f t="shared" si="114"/>
        <v>72.5</v>
      </c>
      <c r="L54" s="20">
        <f t="shared" si="114"/>
        <v>72.5</v>
      </c>
      <c r="M54" s="20">
        <f t="shared" si="114"/>
        <v>72.5</v>
      </c>
      <c r="N54" s="20">
        <f t="shared" si="114"/>
        <v>72.5</v>
      </c>
      <c r="O54" s="20">
        <f t="shared" si="114"/>
        <v>72.5</v>
      </c>
      <c r="P54" s="20">
        <f t="shared" si="114"/>
        <v>72.5</v>
      </c>
      <c r="Q54" s="20">
        <f t="shared" si="114"/>
        <v>72.5</v>
      </c>
      <c r="R54" s="20">
        <f t="shared" si="114"/>
        <v>72.5</v>
      </c>
      <c r="S54" s="20">
        <f t="shared" si="112"/>
        <v>870</v>
      </c>
    </row>
    <row r="55" spans="1:21" x14ac:dyDescent="0.2">
      <c r="A55" s="24"/>
      <c r="B55" s="45"/>
      <c r="C55" s="25"/>
      <c r="D55" s="22"/>
      <c r="E55" s="71" t="s">
        <v>35</v>
      </c>
      <c r="F55" s="58"/>
      <c r="G55" s="21">
        <f>SUM(G50:G54)</f>
        <v>409.1875</v>
      </c>
      <c r="H55" s="21">
        <f t="shared" ref="H55" si="115">SUM(H50:H54)</f>
        <v>409.1875</v>
      </c>
      <c r="I55" s="21">
        <f t="shared" ref="I55" si="116">SUM(I50:I54)</f>
        <v>409.1875</v>
      </c>
      <c r="J55" s="21">
        <f t="shared" ref="J55" si="117">SUM(J50:J54)</f>
        <v>409.1875</v>
      </c>
      <c r="K55" s="21">
        <f t="shared" ref="K55" si="118">SUM(K50:K54)</f>
        <v>409.1875</v>
      </c>
      <c r="L55" s="21">
        <f t="shared" ref="L55" si="119">SUM(L50:L54)</f>
        <v>409.1875</v>
      </c>
      <c r="M55" s="21">
        <f t="shared" ref="M55" si="120">SUM(M50:M54)</f>
        <v>409.1875</v>
      </c>
      <c r="N55" s="21">
        <f t="shared" ref="N55" si="121">SUM(N50:N54)</f>
        <v>409.1875</v>
      </c>
      <c r="O55" s="21">
        <f t="shared" ref="O55" si="122">SUM(O50:O54)</f>
        <v>409.1875</v>
      </c>
      <c r="P55" s="21">
        <f t="shared" ref="P55" si="123">SUM(P50:P54)</f>
        <v>409.1875</v>
      </c>
      <c r="Q55" s="21">
        <f t="shared" ref="Q55" si="124">SUM(Q50:Q54)</f>
        <v>409.1875</v>
      </c>
      <c r="R55" s="21">
        <f t="shared" ref="R55" si="125">SUM(R50:R54)</f>
        <v>409.1875</v>
      </c>
      <c r="S55" s="80">
        <f>SUM(G55:R55)</f>
        <v>4910.25</v>
      </c>
    </row>
    <row r="56" spans="1:21" x14ac:dyDescent="0.2">
      <c r="A56" s="41"/>
      <c r="B56" s="76" t="s">
        <v>37</v>
      </c>
      <c r="C56" s="77"/>
      <c r="D56" s="73"/>
      <c r="E56" s="59" t="s">
        <v>27</v>
      </c>
      <c r="F56" s="60"/>
      <c r="G56" s="61">
        <f>(G49+G55)*$F$56</f>
        <v>0</v>
      </c>
      <c r="H56" s="61">
        <f t="shared" ref="H56:R56" si="126">(H49+H55)*$F$56</f>
        <v>0</v>
      </c>
      <c r="I56" s="61">
        <f t="shared" si="126"/>
        <v>0</v>
      </c>
      <c r="J56" s="61">
        <f t="shared" si="126"/>
        <v>0</v>
      </c>
      <c r="K56" s="61">
        <f t="shared" si="126"/>
        <v>0</v>
      </c>
      <c r="L56" s="61">
        <f t="shared" si="126"/>
        <v>0</v>
      </c>
      <c r="M56" s="61">
        <f t="shared" si="126"/>
        <v>0</v>
      </c>
      <c r="N56" s="61">
        <f t="shared" si="126"/>
        <v>0</v>
      </c>
      <c r="O56" s="61">
        <f t="shared" si="126"/>
        <v>0</v>
      </c>
      <c r="P56" s="61">
        <f t="shared" si="126"/>
        <v>0</v>
      </c>
      <c r="Q56" s="61">
        <f t="shared" si="126"/>
        <v>0</v>
      </c>
      <c r="R56" s="61">
        <f t="shared" si="126"/>
        <v>0</v>
      </c>
      <c r="S56" s="61">
        <f>SUM(G56:R56)</f>
        <v>0</v>
      </c>
      <c r="U56" s="33"/>
    </row>
    <row r="57" spans="1:21" x14ac:dyDescent="0.2">
      <c r="A57" s="13"/>
      <c r="B57" s="24"/>
      <c r="C57" s="25"/>
      <c r="D57" s="73"/>
      <c r="E57" s="64" t="s">
        <v>28</v>
      </c>
      <c r="F57" s="65">
        <v>0.95</v>
      </c>
      <c r="G57" s="66">
        <f>(G49+G55)*$F$57</f>
        <v>3832.4781249999996</v>
      </c>
      <c r="H57" s="66">
        <f t="shared" ref="H57:R57" si="127">(H49+H55)*$F$57</f>
        <v>3832.4781249999996</v>
      </c>
      <c r="I57" s="66">
        <f t="shared" si="127"/>
        <v>3832.4781249999996</v>
      </c>
      <c r="J57" s="66">
        <f t="shared" si="127"/>
        <v>3832.4781249999996</v>
      </c>
      <c r="K57" s="66">
        <f t="shared" si="127"/>
        <v>3832.4781249999996</v>
      </c>
      <c r="L57" s="66">
        <f t="shared" si="127"/>
        <v>3832.4781249999996</v>
      </c>
      <c r="M57" s="66">
        <f t="shared" si="127"/>
        <v>3832.4781249999996</v>
      </c>
      <c r="N57" s="66">
        <f t="shared" si="127"/>
        <v>3832.4781249999996</v>
      </c>
      <c r="O57" s="66">
        <f t="shared" si="127"/>
        <v>3832.4781249999996</v>
      </c>
      <c r="P57" s="66">
        <f t="shared" si="127"/>
        <v>3832.4781249999996</v>
      </c>
      <c r="Q57" s="66">
        <f t="shared" si="127"/>
        <v>3832.4781249999996</v>
      </c>
      <c r="R57" s="66">
        <f t="shared" si="127"/>
        <v>3832.4781249999996</v>
      </c>
      <c r="S57" s="66">
        <f t="shared" ref="S57" si="128">SUM(G57:R57)</f>
        <v>45989.73750000001</v>
      </c>
    </row>
    <row r="58" spans="1:21" x14ac:dyDescent="0.2">
      <c r="A58" s="13"/>
      <c r="B58" s="24"/>
      <c r="C58" s="25"/>
      <c r="D58" s="73"/>
      <c r="E58" s="67" t="s">
        <v>15</v>
      </c>
      <c r="F58" s="62">
        <v>0.05</v>
      </c>
      <c r="G58" s="63">
        <f>(G49+G55)*$F$58</f>
        <v>201.70937500000002</v>
      </c>
      <c r="H58" s="63">
        <f t="shared" ref="H58:R58" si="129">(H49+H55)*$F$58</f>
        <v>201.70937500000002</v>
      </c>
      <c r="I58" s="63">
        <f t="shared" si="129"/>
        <v>201.70937500000002</v>
      </c>
      <c r="J58" s="63">
        <f t="shared" si="129"/>
        <v>201.70937500000002</v>
      </c>
      <c r="K58" s="63">
        <f t="shared" si="129"/>
        <v>201.70937500000002</v>
      </c>
      <c r="L58" s="63">
        <f t="shared" si="129"/>
        <v>201.70937500000002</v>
      </c>
      <c r="M58" s="63">
        <f t="shared" si="129"/>
        <v>201.70937500000002</v>
      </c>
      <c r="N58" s="63">
        <f t="shared" si="129"/>
        <v>201.70937500000002</v>
      </c>
      <c r="O58" s="63">
        <f t="shared" si="129"/>
        <v>201.70937500000002</v>
      </c>
      <c r="P58" s="63">
        <f t="shared" si="129"/>
        <v>201.70937500000002</v>
      </c>
      <c r="Q58" s="63">
        <f t="shared" si="129"/>
        <v>201.70937500000002</v>
      </c>
      <c r="R58" s="63">
        <f t="shared" si="129"/>
        <v>201.70937500000002</v>
      </c>
      <c r="S58" s="63">
        <f>SUM(G58:R58)</f>
        <v>2420.5124999999998</v>
      </c>
    </row>
    <row r="59" spans="1:21" x14ac:dyDescent="0.2">
      <c r="A59" s="43"/>
      <c r="B59" s="24"/>
      <c r="C59" s="74"/>
      <c r="D59" s="75"/>
      <c r="E59" s="68" t="s">
        <v>29</v>
      </c>
      <c r="F59" s="69"/>
      <c r="G59" s="70">
        <f>(G49+G55)*$F$59</f>
        <v>0</v>
      </c>
      <c r="H59" s="70">
        <f t="shared" ref="H59:R59" si="130">(H49+H55)*$F$59</f>
        <v>0</v>
      </c>
      <c r="I59" s="70">
        <f t="shared" si="130"/>
        <v>0</v>
      </c>
      <c r="J59" s="70">
        <f t="shared" si="130"/>
        <v>0</v>
      </c>
      <c r="K59" s="70">
        <f t="shared" si="130"/>
        <v>0</v>
      </c>
      <c r="L59" s="70">
        <f t="shared" si="130"/>
        <v>0</v>
      </c>
      <c r="M59" s="70">
        <f t="shared" si="130"/>
        <v>0</v>
      </c>
      <c r="N59" s="70">
        <f t="shared" si="130"/>
        <v>0</v>
      </c>
      <c r="O59" s="70">
        <f t="shared" si="130"/>
        <v>0</v>
      </c>
      <c r="P59" s="70">
        <f t="shared" si="130"/>
        <v>0</v>
      </c>
      <c r="Q59" s="70">
        <f t="shared" si="130"/>
        <v>0</v>
      </c>
      <c r="R59" s="70">
        <f t="shared" si="130"/>
        <v>0</v>
      </c>
      <c r="S59" s="70">
        <f t="shared" ref="S59:S60" si="131">SUM(G59:R59)</f>
        <v>0</v>
      </c>
    </row>
    <row r="60" spans="1:21" x14ac:dyDescent="0.2">
      <c r="A60" s="43"/>
      <c r="B60" s="24"/>
      <c r="C60" s="74"/>
      <c r="D60" s="75"/>
      <c r="E60" s="72" t="s">
        <v>8</v>
      </c>
      <c r="F60" s="48">
        <f>SUM(F56:F59)</f>
        <v>1</v>
      </c>
      <c r="G60" s="21">
        <f>SUM(G56:G59)</f>
        <v>4034.1874999999995</v>
      </c>
      <c r="H60" s="21">
        <f t="shared" ref="H60" si="132">SUM(H56:H59)</f>
        <v>4034.1874999999995</v>
      </c>
      <c r="I60" s="21">
        <f t="shared" ref="I60" si="133">SUM(I56:I59)</f>
        <v>4034.1874999999995</v>
      </c>
      <c r="J60" s="21">
        <f t="shared" ref="J60" si="134">SUM(J56:J59)</f>
        <v>4034.1874999999995</v>
      </c>
      <c r="K60" s="21">
        <f t="shared" ref="K60" si="135">SUM(K56:K59)</f>
        <v>4034.1874999999995</v>
      </c>
      <c r="L60" s="21">
        <f t="shared" ref="L60" si="136">SUM(L56:L59)</f>
        <v>4034.1874999999995</v>
      </c>
      <c r="M60" s="21">
        <f t="shared" ref="M60" si="137">SUM(M56:M59)</f>
        <v>4034.1874999999995</v>
      </c>
      <c r="N60" s="21">
        <f t="shared" ref="N60" si="138">SUM(N56:N59)</f>
        <v>4034.1874999999995</v>
      </c>
      <c r="O60" s="21">
        <f t="shared" ref="O60" si="139">SUM(O56:O59)</f>
        <v>4034.1874999999995</v>
      </c>
      <c r="P60" s="21">
        <f t="shared" ref="P60" si="140">SUM(P56:P59)</f>
        <v>4034.1874999999995</v>
      </c>
      <c r="Q60" s="21">
        <f t="shared" ref="Q60" si="141">SUM(Q56:Q59)</f>
        <v>4034.1874999999995</v>
      </c>
      <c r="R60" s="21">
        <f t="shared" ref="R60" si="142">SUM(R56:R59)</f>
        <v>4034.1874999999995</v>
      </c>
      <c r="S60" s="80">
        <f t="shared" si="131"/>
        <v>48410.249999999993</v>
      </c>
    </row>
    <row r="61" spans="1:21" ht="11.25" customHeight="1" x14ac:dyDescent="0.2">
      <c r="G61" s="20"/>
      <c r="H61" s="20"/>
      <c r="I61" s="20"/>
      <c r="J61" s="42"/>
      <c r="K61" s="42"/>
      <c r="L61" s="42"/>
      <c r="M61" s="42"/>
      <c r="N61" s="42"/>
      <c r="O61" s="42"/>
      <c r="P61" s="42"/>
      <c r="Q61" s="42"/>
      <c r="R61" s="42"/>
      <c r="S61" s="20"/>
    </row>
    <row r="62" spans="1:21" x14ac:dyDescent="0.2">
      <c r="A62" s="79" t="s">
        <v>18</v>
      </c>
      <c r="B62" s="32">
        <v>5</v>
      </c>
      <c r="C62" s="23">
        <v>18</v>
      </c>
      <c r="D62" s="19">
        <v>40</v>
      </c>
      <c r="E62" s="54" t="s">
        <v>36</v>
      </c>
      <c r="G62" s="20">
        <f>($C$62*2000)/12</f>
        <v>3000</v>
      </c>
      <c r="H62" s="20">
        <f t="shared" ref="H62:R62" si="143">($C$62*2000)/12</f>
        <v>3000</v>
      </c>
      <c r="I62" s="20">
        <f t="shared" si="143"/>
        <v>3000</v>
      </c>
      <c r="J62" s="20">
        <f t="shared" si="143"/>
        <v>3000</v>
      </c>
      <c r="K62" s="20">
        <f t="shared" si="143"/>
        <v>3000</v>
      </c>
      <c r="L62" s="20">
        <f t="shared" si="143"/>
        <v>3000</v>
      </c>
      <c r="M62" s="20">
        <f t="shared" si="143"/>
        <v>3000</v>
      </c>
      <c r="N62" s="20">
        <f t="shared" si="143"/>
        <v>3000</v>
      </c>
      <c r="O62" s="20">
        <f t="shared" si="143"/>
        <v>3000</v>
      </c>
      <c r="P62" s="20">
        <f t="shared" si="143"/>
        <v>3000</v>
      </c>
      <c r="Q62" s="20">
        <f t="shared" si="143"/>
        <v>3000</v>
      </c>
      <c r="R62" s="20">
        <f t="shared" si="143"/>
        <v>3000</v>
      </c>
      <c r="S62" s="28">
        <f>SUM(G62:R62)</f>
        <v>36000</v>
      </c>
    </row>
    <row r="63" spans="1:21" x14ac:dyDescent="0.2">
      <c r="A63" s="24"/>
      <c r="B63" s="45"/>
      <c r="C63" s="25"/>
      <c r="D63" s="22"/>
      <c r="E63" s="56" t="s">
        <v>30</v>
      </c>
      <c r="F63" s="57"/>
      <c r="G63" s="55">
        <f>G62*0.0765</f>
        <v>229.5</v>
      </c>
      <c r="H63" s="20">
        <f t="shared" ref="H63" si="144">H62*0.0765</f>
        <v>229.5</v>
      </c>
      <c r="I63" s="20">
        <f t="shared" ref="I63" si="145">I62*0.0765</f>
        <v>229.5</v>
      </c>
      <c r="J63" s="20">
        <f t="shared" ref="J63" si="146">J62*0.0765</f>
        <v>229.5</v>
      </c>
      <c r="K63" s="20">
        <f t="shared" ref="K63" si="147">K62*0.0765</f>
        <v>229.5</v>
      </c>
      <c r="L63" s="20">
        <f t="shared" ref="L63" si="148">L62*0.0765</f>
        <v>229.5</v>
      </c>
      <c r="M63" s="20">
        <f t="shared" ref="M63" si="149">M62*0.0765</f>
        <v>229.5</v>
      </c>
      <c r="N63" s="20">
        <f t="shared" ref="N63" si="150">N62*0.0765</f>
        <v>229.5</v>
      </c>
      <c r="O63" s="20">
        <f t="shared" ref="O63" si="151">O62*0.0765</f>
        <v>229.5</v>
      </c>
      <c r="P63" s="20">
        <f t="shared" ref="P63" si="152">P62*0.0765</f>
        <v>229.5</v>
      </c>
      <c r="Q63" s="20">
        <f t="shared" ref="Q63" si="153">Q62*0.0765</f>
        <v>229.5</v>
      </c>
      <c r="R63" s="20">
        <f t="shared" ref="R63" si="154">R62*0.0765</f>
        <v>229.5</v>
      </c>
      <c r="S63" s="20">
        <f t="shared" ref="S63:S67" si="155">SUM(G63:R63)</f>
        <v>2754</v>
      </c>
    </row>
    <row r="64" spans="1:21" x14ac:dyDescent="0.2">
      <c r="A64" s="24"/>
      <c r="B64" s="45"/>
      <c r="C64" s="25"/>
      <c r="D64" s="22"/>
      <c r="E64" s="56" t="s">
        <v>31</v>
      </c>
      <c r="F64" s="57"/>
      <c r="G64" s="55">
        <f>(27000/12)*0.0175</f>
        <v>39.375000000000007</v>
      </c>
      <c r="H64" s="20">
        <f t="shared" ref="H64:R64" si="156">(27000/12)*0.0175</f>
        <v>39.375000000000007</v>
      </c>
      <c r="I64" s="20">
        <f t="shared" si="156"/>
        <v>39.375000000000007</v>
      </c>
      <c r="J64" s="20">
        <f t="shared" si="156"/>
        <v>39.375000000000007</v>
      </c>
      <c r="K64" s="20">
        <f t="shared" si="156"/>
        <v>39.375000000000007</v>
      </c>
      <c r="L64" s="20">
        <f t="shared" si="156"/>
        <v>39.375000000000007</v>
      </c>
      <c r="M64" s="20">
        <f t="shared" si="156"/>
        <v>39.375000000000007</v>
      </c>
      <c r="N64" s="20">
        <f t="shared" si="156"/>
        <v>39.375000000000007</v>
      </c>
      <c r="O64" s="20">
        <f t="shared" si="156"/>
        <v>39.375000000000007</v>
      </c>
      <c r="P64" s="20">
        <f t="shared" si="156"/>
        <v>39.375000000000007</v>
      </c>
      <c r="Q64" s="20">
        <f t="shared" si="156"/>
        <v>39.375000000000007</v>
      </c>
      <c r="R64" s="20">
        <f t="shared" si="156"/>
        <v>39.375000000000007</v>
      </c>
      <c r="S64" s="20">
        <f t="shared" si="155"/>
        <v>472.50000000000006</v>
      </c>
    </row>
    <row r="65" spans="1:21" x14ac:dyDescent="0.2">
      <c r="A65" s="24"/>
      <c r="B65" s="45"/>
      <c r="C65" s="25"/>
      <c r="D65" s="22"/>
      <c r="E65" s="56" t="s">
        <v>32</v>
      </c>
      <c r="F65" s="57"/>
      <c r="G65" s="55">
        <v>20</v>
      </c>
      <c r="H65" s="20">
        <v>20</v>
      </c>
      <c r="I65" s="20">
        <v>20</v>
      </c>
      <c r="J65" s="20">
        <v>20</v>
      </c>
      <c r="K65" s="20">
        <v>20</v>
      </c>
      <c r="L65" s="20">
        <v>20</v>
      </c>
      <c r="M65" s="20">
        <v>20</v>
      </c>
      <c r="N65" s="20">
        <v>20</v>
      </c>
      <c r="O65" s="20">
        <v>20</v>
      </c>
      <c r="P65" s="20">
        <v>20</v>
      </c>
      <c r="Q65" s="20">
        <v>20</v>
      </c>
      <c r="R65" s="20">
        <v>20</v>
      </c>
      <c r="S65" s="20">
        <f t="shared" si="155"/>
        <v>240</v>
      </c>
    </row>
    <row r="66" spans="1:21" x14ac:dyDescent="0.2">
      <c r="A66" s="24"/>
      <c r="B66" s="45"/>
      <c r="C66" s="25"/>
      <c r="D66" s="22"/>
      <c r="E66" s="56" t="s">
        <v>33</v>
      </c>
      <c r="F66" s="57"/>
      <c r="G66" s="55">
        <v>400</v>
      </c>
      <c r="H66" s="55">
        <v>400</v>
      </c>
      <c r="I66" s="55">
        <v>400</v>
      </c>
      <c r="J66" s="55">
        <v>400</v>
      </c>
      <c r="K66" s="55">
        <v>400</v>
      </c>
      <c r="L66" s="55">
        <v>400</v>
      </c>
      <c r="M66" s="55">
        <v>430</v>
      </c>
      <c r="N66" s="55">
        <v>430</v>
      </c>
      <c r="O66" s="55">
        <v>430</v>
      </c>
      <c r="P66" s="55">
        <v>430</v>
      </c>
      <c r="Q66" s="55">
        <v>430</v>
      </c>
      <c r="R66" s="55">
        <v>430</v>
      </c>
      <c r="S66" s="20">
        <f t="shared" si="155"/>
        <v>4980</v>
      </c>
    </row>
    <row r="67" spans="1:21" x14ac:dyDescent="0.2">
      <c r="A67" s="24"/>
      <c r="B67" s="45"/>
      <c r="C67" s="25"/>
      <c r="D67" s="22"/>
      <c r="E67" s="56" t="s">
        <v>34</v>
      </c>
      <c r="F67" s="57"/>
      <c r="G67" s="55">
        <f>G62*0.02</f>
        <v>60</v>
      </c>
      <c r="H67" s="20">
        <f t="shared" ref="H67:R67" si="157">H62*0.02</f>
        <v>60</v>
      </c>
      <c r="I67" s="20">
        <f t="shared" si="157"/>
        <v>60</v>
      </c>
      <c r="J67" s="20">
        <f t="shared" si="157"/>
        <v>60</v>
      </c>
      <c r="K67" s="20">
        <f t="shared" si="157"/>
        <v>60</v>
      </c>
      <c r="L67" s="20">
        <f t="shared" si="157"/>
        <v>60</v>
      </c>
      <c r="M67" s="20">
        <f t="shared" si="157"/>
        <v>60</v>
      </c>
      <c r="N67" s="20">
        <f t="shared" si="157"/>
        <v>60</v>
      </c>
      <c r="O67" s="20">
        <f t="shared" si="157"/>
        <v>60</v>
      </c>
      <c r="P67" s="20">
        <f t="shared" si="157"/>
        <v>60</v>
      </c>
      <c r="Q67" s="20">
        <f t="shared" si="157"/>
        <v>60</v>
      </c>
      <c r="R67" s="20">
        <f t="shared" si="157"/>
        <v>60</v>
      </c>
      <c r="S67" s="20">
        <f t="shared" si="155"/>
        <v>720</v>
      </c>
    </row>
    <row r="68" spans="1:21" x14ac:dyDescent="0.2">
      <c r="A68" s="24"/>
      <c r="B68" s="45"/>
      <c r="C68" s="25"/>
      <c r="D68" s="22"/>
      <c r="E68" s="71" t="s">
        <v>35</v>
      </c>
      <c r="F68" s="58"/>
      <c r="G68" s="21">
        <f>SUM(G63:G67)</f>
        <v>748.875</v>
      </c>
      <c r="H68" s="21">
        <f t="shared" ref="H68" si="158">SUM(H63:H67)</f>
        <v>748.875</v>
      </c>
      <c r="I68" s="21">
        <f t="shared" ref="I68" si="159">SUM(I63:I67)</f>
        <v>748.875</v>
      </c>
      <c r="J68" s="21">
        <f t="shared" ref="J68" si="160">SUM(J63:J67)</f>
        <v>748.875</v>
      </c>
      <c r="K68" s="21">
        <f t="shared" ref="K68" si="161">SUM(K63:K67)</f>
        <v>748.875</v>
      </c>
      <c r="L68" s="21">
        <f t="shared" ref="L68" si="162">SUM(L63:L67)</f>
        <v>748.875</v>
      </c>
      <c r="M68" s="21">
        <f t="shared" ref="M68" si="163">SUM(M63:M67)</f>
        <v>778.875</v>
      </c>
      <c r="N68" s="21">
        <f t="shared" ref="N68" si="164">SUM(N63:N67)</f>
        <v>778.875</v>
      </c>
      <c r="O68" s="21">
        <f t="shared" ref="O68" si="165">SUM(O63:O67)</f>
        <v>778.875</v>
      </c>
      <c r="P68" s="21">
        <f t="shared" ref="P68" si="166">SUM(P63:P67)</f>
        <v>778.875</v>
      </c>
      <c r="Q68" s="21">
        <f t="shared" ref="Q68" si="167">SUM(Q63:Q67)</f>
        <v>778.875</v>
      </c>
      <c r="R68" s="21">
        <f t="shared" ref="R68" si="168">SUM(R63:R67)</f>
        <v>778.875</v>
      </c>
      <c r="S68" s="80">
        <f>SUM(G68:R68)</f>
        <v>9166.5</v>
      </c>
    </row>
    <row r="69" spans="1:21" x14ac:dyDescent="0.2">
      <c r="A69" s="41"/>
      <c r="B69" s="76" t="s">
        <v>37</v>
      </c>
      <c r="C69" s="77"/>
      <c r="D69" s="73"/>
      <c r="E69" s="59" t="s">
        <v>27</v>
      </c>
      <c r="F69" s="60">
        <v>1</v>
      </c>
      <c r="G69" s="61">
        <f>(G62+G68)*$F$69</f>
        <v>3748.875</v>
      </c>
      <c r="H69" s="61">
        <f t="shared" ref="H69:R69" si="169">(H62+H68)*$F$69</f>
        <v>3748.875</v>
      </c>
      <c r="I69" s="61">
        <f t="shared" si="169"/>
        <v>3748.875</v>
      </c>
      <c r="J69" s="61">
        <f t="shared" si="169"/>
        <v>3748.875</v>
      </c>
      <c r="K69" s="61">
        <f t="shared" si="169"/>
        <v>3748.875</v>
      </c>
      <c r="L69" s="61">
        <f t="shared" si="169"/>
        <v>3748.875</v>
      </c>
      <c r="M69" s="61">
        <f t="shared" si="169"/>
        <v>3778.875</v>
      </c>
      <c r="N69" s="61">
        <f t="shared" si="169"/>
        <v>3778.875</v>
      </c>
      <c r="O69" s="61">
        <f t="shared" si="169"/>
        <v>3778.875</v>
      </c>
      <c r="P69" s="61">
        <f t="shared" si="169"/>
        <v>3778.875</v>
      </c>
      <c r="Q69" s="61">
        <f t="shared" si="169"/>
        <v>3778.875</v>
      </c>
      <c r="R69" s="61">
        <f t="shared" si="169"/>
        <v>3778.875</v>
      </c>
      <c r="S69" s="61">
        <f>SUM(G69:R69)</f>
        <v>45166.5</v>
      </c>
      <c r="U69" s="33"/>
    </row>
    <row r="70" spans="1:21" x14ac:dyDescent="0.2">
      <c r="A70" s="13"/>
      <c r="B70" s="24"/>
      <c r="C70" s="25"/>
      <c r="D70" s="73"/>
      <c r="E70" s="64" t="s">
        <v>28</v>
      </c>
      <c r="F70" s="65"/>
      <c r="G70" s="66">
        <f>(G62+G68)*$F$70</f>
        <v>0</v>
      </c>
      <c r="H70" s="66">
        <f t="shared" ref="H70:R70" si="170">(H62+H68)*$F$70</f>
        <v>0</v>
      </c>
      <c r="I70" s="66">
        <f t="shared" si="170"/>
        <v>0</v>
      </c>
      <c r="J70" s="66">
        <f t="shared" si="170"/>
        <v>0</v>
      </c>
      <c r="K70" s="66">
        <f t="shared" si="170"/>
        <v>0</v>
      </c>
      <c r="L70" s="66">
        <f t="shared" si="170"/>
        <v>0</v>
      </c>
      <c r="M70" s="66">
        <f t="shared" si="170"/>
        <v>0</v>
      </c>
      <c r="N70" s="66">
        <f t="shared" si="170"/>
        <v>0</v>
      </c>
      <c r="O70" s="66">
        <f t="shared" si="170"/>
        <v>0</v>
      </c>
      <c r="P70" s="66">
        <f t="shared" si="170"/>
        <v>0</v>
      </c>
      <c r="Q70" s="66">
        <f t="shared" si="170"/>
        <v>0</v>
      </c>
      <c r="R70" s="66">
        <f t="shared" si="170"/>
        <v>0</v>
      </c>
      <c r="S70" s="66">
        <f t="shared" ref="S70" si="171">SUM(G70:R70)</f>
        <v>0</v>
      </c>
    </row>
    <row r="71" spans="1:21" x14ac:dyDescent="0.2">
      <c r="A71" s="13"/>
      <c r="B71" s="24"/>
      <c r="C71" s="25"/>
      <c r="D71" s="73"/>
      <c r="E71" s="67" t="s">
        <v>15</v>
      </c>
      <c r="F71" s="62"/>
      <c r="G71" s="63">
        <f>(G62+G68)*$F$71</f>
        <v>0</v>
      </c>
      <c r="H71" s="63">
        <f t="shared" ref="H71:R71" si="172">(H62+H68)*$F$71</f>
        <v>0</v>
      </c>
      <c r="I71" s="63">
        <f t="shared" si="172"/>
        <v>0</v>
      </c>
      <c r="J71" s="63">
        <f t="shared" si="172"/>
        <v>0</v>
      </c>
      <c r="K71" s="63">
        <f t="shared" si="172"/>
        <v>0</v>
      </c>
      <c r="L71" s="63">
        <f t="shared" si="172"/>
        <v>0</v>
      </c>
      <c r="M71" s="63">
        <f t="shared" si="172"/>
        <v>0</v>
      </c>
      <c r="N71" s="63">
        <f t="shared" si="172"/>
        <v>0</v>
      </c>
      <c r="O71" s="63">
        <f t="shared" si="172"/>
        <v>0</v>
      </c>
      <c r="P71" s="63">
        <f t="shared" si="172"/>
        <v>0</v>
      </c>
      <c r="Q71" s="63">
        <f t="shared" si="172"/>
        <v>0</v>
      </c>
      <c r="R71" s="63">
        <f t="shared" si="172"/>
        <v>0</v>
      </c>
      <c r="S71" s="63">
        <f>SUM(G71:R71)</f>
        <v>0</v>
      </c>
    </row>
    <row r="72" spans="1:21" x14ac:dyDescent="0.2">
      <c r="A72" s="43"/>
      <c r="B72" s="24"/>
      <c r="C72" s="74"/>
      <c r="D72" s="75"/>
      <c r="E72" s="68" t="s">
        <v>29</v>
      </c>
      <c r="F72" s="69"/>
      <c r="G72" s="70">
        <f>(G62+G68)*$F$72</f>
        <v>0</v>
      </c>
      <c r="H72" s="70">
        <f t="shared" ref="H72:R72" si="173">(H62+H68)*$F$72</f>
        <v>0</v>
      </c>
      <c r="I72" s="70">
        <f t="shared" si="173"/>
        <v>0</v>
      </c>
      <c r="J72" s="70">
        <f t="shared" si="173"/>
        <v>0</v>
      </c>
      <c r="K72" s="70">
        <f t="shared" si="173"/>
        <v>0</v>
      </c>
      <c r="L72" s="70">
        <f t="shared" si="173"/>
        <v>0</v>
      </c>
      <c r="M72" s="70">
        <f t="shared" si="173"/>
        <v>0</v>
      </c>
      <c r="N72" s="70">
        <f t="shared" si="173"/>
        <v>0</v>
      </c>
      <c r="O72" s="70">
        <f t="shared" si="173"/>
        <v>0</v>
      </c>
      <c r="P72" s="70">
        <f t="shared" si="173"/>
        <v>0</v>
      </c>
      <c r="Q72" s="70">
        <f t="shared" si="173"/>
        <v>0</v>
      </c>
      <c r="R72" s="70">
        <f t="shared" si="173"/>
        <v>0</v>
      </c>
      <c r="S72" s="70">
        <f t="shared" ref="S72:S73" si="174">SUM(G72:R72)</f>
        <v>0</v>
      </c>
    </row>
    <row r="73" spans="1:21" x14ac:dyDescent="0.2">
      <c r="A73" s="43"/>
      <c r="B73" s="24"/>
      <c r="C73" s="74"/>
      <c r="D73" s="75"/>
      <c r="E73" s="72" t="s">
        <v>8</v>
      </c>
      <c r="F73" s="48">
        <f>SUM(F69:F72)</f>
        <v>1</v>
      </c>
      <c r="G73" s="21">
        <f>SUM(G69:G72)</f>
        <v>3748.875</v>
      </c>
      <c r="H73" s="21">
        <f t="shared" ref="H73" si="175">SUM(H69:H72)</f>
        <v>3748.875</v>
      </c>
      <c r="I73" s="21">
        <f t="shared" ref="I73" si="176">SUM(I69:I72)</f>
        <v>3748.875</v>
      </c>
      <c r="J73" s="21">
        <f t="shared" ref="J73" si="177">SUM(J69:J72)</f>
        <v>3748.875</v>
      </c>
      <c r="K73" s="21">
        <f t="shared" ref="K73" si="178">SUM(K69:K72)</f>
        <v>3748.875</v>
      </c>
      <c r="L73" s="21">
        <f t="shared" ref="L73" si="179">SUM(L69:L72)</f>
        <v>3748.875</v>
      </c>
      <c r="M73" s="21">
        <f t="shared" ref="M73" si="180">SUM(M69:M72)</f>
        <v>3778.875</v>
      </c>
      <c r="N73" s="21">
        <f t="shared" ref="N73" si="181">SUM(N69:N72)</f>
        <v>3778.875</v>
      </c>
      <c r="O73" s="21">
        <f t="shared" ref="O73" si="182">SUM(O69:O72)</f>
        <v>3778.875</v>
      </c>
      <c r="P73" s="21">
        <f t="shared" ref="P73" si="183">SUM(P69:P72)</f>
        <v>3778.875</v>
      </c>
      <c r="Q73" s="21">
        <f t="shared" ref="Q73" si="184">SUM(Q69:Q72)</f>
        <v>3778.875</v>
      </c>
      <c r="R73" s="21">
        <f t="shared" ref="R73" si="185">SUM(R69:R72)</f>
        <v>3778.875</v>
      </c>
      <c r="S73" s="80">
        <f t="shared" si="174"/>
        <v>45166.5</v>
      </c>
    </row>
    <row r="74" spans="1:21" ht="11.25" customHeight="1" x14ac:dyDescent="0.2">
      <c r="G74" s="20"/>
      <c r="H74" s="20"/>
      <c r="I74" s="20"/>
      <c r="J74" s="42"/>
      <c r="K74" s="42"/>
      <c r="L74" s="42"/>
      <c r="M74" s="42"/>
      <c r="N74" s="42"/>
      <c r="O74" s="42"/>
      <c r="P74" s="42"/>
      <c r="Q74" s="42"/>
      <c r="R74" s="42"/>
      <c r="S74" s="20"/>
    </row>
    <row r="75" spans="1:21" x14ac:dyDescent="0.2">
      <c r="A75" s="79" t="s">
        <v>19</v>
      </c>
      <c r="B75" s="32">
        <v>6</v>
      </c>
      <c r="C75" s="23">
        <v>16</v>
      </c>
      <c r="D75" s="19">
        <v>40</v>
      </c>
      <c r="E75" s="54" t="s">
        <v>36</v>
      </c>
      <c r="G75" s="20">
        <f>($C$75*2000)/12</f>
        <v>2666.6666666666665</v>
      </c>
      <c r="H75" s="20">
        <f t="shared" ref="H75:R75" si="186">($C$75*2000)/12</f>
        <v>2666.6666666666665</v>
      </c>
      <c r="I75" s="20">
        <f t="shared" si="186"/>
        <v>2666.6666666666665</v>
      </c>
      <c r="J75" s="20">
        <f t="shared" si="186"/>
        <v>2666.6666666666665</v>
      </c>
      <c r="K75" s="20">
        <f t="shared" si="186"/>
        <v>2666.6666666666665</v>
      </c>
      <c r="L75" s="20">
        <f t="shared" si="186"/>
        <v>2666.6666666666665</v>
      </c>
      <c r="M75" s="20">
        <f t="shared" si="186"/>
        <v>2666.6666666666665</v>
      </c>
      <c r="N75" s="20">
        <f t="shared" si="186"/>
        <v>2666.6666666666665</v>
      </c>
      <c r="O75" s="20">
        <f t="shared" si="186"/>
        <v>2666.6666666666665</v>
      </c>
      <c r="P75" s="20">
        <f t="shared" si="186"/>
        <v>2666.6666666666665</v>
      </c>
      <c r="Q75" s="20">
        <f t="shared" si="186"/>
        <v>2666.6666666666665</v>
      </c>
      <c r="R75" s="20">
        <f t="shared" si="186"/>
        <v>2666.6666666666665</v>
      </c>
      <c r="S75" s="28">
        <f>SUM(G75:R75)</f>
        <v>32000.000000000004</v>
      </c>
    </row>
    <row r="76" spans="1:21" x14ac:dyDescent="0.2">
      <c r="A76" s="24"/>
      <c r="B76" s="45"/>
      <c r="C76" s="25"/>
      <c r="D76" s="22"/>
      <c r="E76" s="56" t="s">
        <v>30</v>
      </c>
      <c r="F76" s="57"/>
      <c r="G76" s="55">
        <f>G75*0.0765</f>
        <v>203.99999999999997</v>
      </c>
      <c r="H76" s="20">
        <f t="shared" ref="H76" si="187">H75*0.0765</f>
        <v>203.99999999999997</v>
      </c>
      <c r="I76" s="20">
        <f t="shared" ref="I76" si="188">I75*0.0765</f>
        <v>203.99999999999997</v>
      </c>
      <c r="J76" s="20">
        <f t="shared" ref="J76" si="189">J75*0.0765</f>
        <v>203.99999999999997</v>
      </c>
      <c r="K76" s="20">
        <f t="shared" ref="K76" si="190">K75*0.0765</f>
        <v>203.99999999999997</v>
      </c>
      <c r="L76" s="20">
        <f t="shared" ref="L76" si="191">L75*0.0765</f>
        <v>203.99999999999997</v>
      </c>
      <c r="M76" s="20">
        <f t="shared" ref="M76" si="192">M75*0.0765</f>
        <v>203.99999999999997</v>
      </c>
      <c r="N76" s="20">
        <f t="shared" ref="N76" si="193">N75*0.0765</f>
        <v>203.99999999999997</v>
      </c>
      <c r="O76" s="20">
        <f t="shared" ref="O76" si="194">O75*0.0765</f>
        <v>203.99999999999997</v>
      </c>
      <c r="P76" s="20">
        <f t="shared" ref="P76" si="195">P75*0.0765</f>
        <v>203.99999999999997</v>
      </c>
      <c r="Q76" s="20">
        <f t="shared" ref="Q76" si="196">Q75*0.0765</f>
        <v>203.99999999999997</v>
      </c>
      <c r="R76" s="20">
        <f t="shared" ref="R76" si="197">R75*0.0765</f>
        <v>203.99999999999997</v>
      </c>
      <c r="S76" s="20">
        <f t="shared" ref="S76:S80" si="198">SUM(G76:R76)</f>
        <v>2447.9999999999995</v>
      </c>
    </row>
    <row r="77" spans="1:21" x14ac:dyDescent="0.2">
      <c r="A77" s="24"/>
      <c r="B77" s="45"/>
      <c r="C77" s="25"/>
      <c r="D77" s="22"/>
      <c r="E77" s="56" t="s">
        <v>31</v>
      </c>
      <c r="F77" s="57"/>
      <c r="G77" s="55">
        <f>(27000/12)*0.0175</f>
        <v>39.375000000000007</v>
      </c>
      <c r="H77" s="20">
        <f t="shared" ref="H77:R77" si="199">(27000/12)*0.0175</f>
        <v>39.375000000000007</v>
      </c>
      <c r="I77" s="20">
        <f t="shared" si="199"/>
        <v>39.375000000000007</v>
      </c>
      <c r="J77" s="20">
        <f t="shared" si="199"/>
        <v>39.375000000000007</v>
      </c>
      <c r="K77" s="20">
        <f t="shared" si="199"/>
        <v>39.375000000000007</v>
      </c>
      <c r="L77" s="20">
        <f t="shared" si="199"/>
        <v>39.375000000000007</v>
      </c>
      <c r="M77" s="20">
        <f t="shared" si="199"/>
        <v>39.375000000000007</v>
      </c>
      <c r="N77" s="20">
        <f t="shared" si="199"/>
        <v>39.375000000000007</v>
      </c>
      <c r="O77" s="20">
        <f t="shared" si="199"/>
        <v>39.375000000000007</v>
      </c>
      <c r="P77" s="20">
        <f t="shared" si="199"/>
        <v>39.375000000000007</v>
      </c>
      <c r="Q77" s="20">
        <f t="shared" si="199"/>
        <v>39.375000000000007</v>
      </c>
      <c r="R77" s="20">
        <f t="shared" si="199"/>
        <v>39.375000000000007</v>
      </c>
      <c r="S77" s="20">
        <f t="shared" si="198"/>
        <v>472.50000000000006</v>
      </c>
    </row>
    <row r="78" spans="1:21" x14ac:dyDescent="0.2">
      <c r="A78" s="24"/>
      <c r="B78" s="45"/>
      <c r="C78" s="25"/>
      <c r="D78" s="22"/>
      <c r="E78" s="56" t="s">
        <v>32</v>
      </c>
      <c r="F78" s="57"/>
      <c r="G78" s="55">
        <v>20</v>
      </c>
      <c r="H78" s="20">
        <v>20</v>
      </c>
      <c r="I78" s="20">
        <v>20</v>
      </c>
      <c r="J78" s="20">
        <v>20</v>
      </c>
      <c r="K78" s="20">
        <v>20</v>
      </c>
      <c r="L78" s="20">
        <v>20</v>
      </c>
      <c r="M78" s="20">
        <v>20</v>
      </c>
      <c r="N78" s="20">
        <v>20</v>
      </c>
      <c r="O78" s="20">
        <v>20</v>
      </c>
      <c r="P78" s="20">
        <v>20</v>
      </c>
      <c r="Q78" s="20">
        <v>20</v>
      </c>
      <c r="R78" s="20">
        <v>20</v>
      </c>
      <c r="S78" s="20">
        <f t="shared" si="198"/>
        <v>240</v>
      </c>
    </row>
    <row r="79" spans="1:21" x14ac:dyDescent="0.2">
      <c r="A79" s="24"/>
      <c r="B79" s="45"/>
      <c r="C79" s="25"/>
      <c r="D79" s="22"/>
      <c r="E79" s="56" t="s">
        <v>33</v>
      </c>
      <c r="F79" s="57"/>
      <c r="G79" s="55">
        <v>410</v>
      </c>
      <c r="H79" s="55">
        <v>410</v>
      </c>
      <c r="I79" s="55">
        <v>410</v>
      </c>
      <c r="J79" s="55">
        <v>410</v>
      </c>
      <c r="K79" s="55">
        <v>410</v>
      </c>
      <c r="L79" s="55">
        <v>410</v>
      </c>
      <c r="M79" s="55">
        <v>450</v>
      </c>
      <c r="N79" s="55">
        <v>450</v>
      </c>
      <c r="O79" s="55">
        <v>450</v>
      </c>
      <c r="P79" s="55">
        <v>450</v>
      </c>
      <c r="Q79" s="55">
        <v>450</v>
      </c>
      <c r="R79" s="55">
        <v>450</v>
      </c>
      <c r="S79" s="20">
        <f t="shared" si="198"/>
        <v>5160</v>
      </c>
    </row>
    <row r="80" spans="1:21" x14ac:dyDescent="0.2">
      <c r="A80" s="24"/>
      <c r="B80" s="45"/>
      <c r="C80" s="25"/>
      <c r="D80" s="22"/>
      <c r="E80" s="56" t="s">
        <v>34</v>
      </c>
      <c r="F80" s="57"/>
      <c r="G80" s="55">
        <f>G75*0.02</f>
        <v>53.333333333333329</v>
      </c>
      <c r="H80" s="20">
        <f t="shared" ref="H80:R80" si="200">H75*0.02</f>
        <v>53.333333333333329</v>
      </c>
      <c r="I80" s="20">
        <f t="shared" si="200"/>
        <v>53.333333333333329</v>
      </c>
      <c r="J80" s="20">
        <f t="shared" si="200"/>
        <v>53.333333333333329</v>
      </c>
      <c r="K80" s="20">
        <f t="shared" si="200"/>
        <v>53.333333333333329</v>
      </c>
      <c r="L80" s="20">
        <f t="shared" si="200"/>
        <v>53.333333333333329</v>
      </c>
      <c r="M80" s="20">
        <f t="shared" si="200"/>
        <v>53.333333333333329</v>
      </c>
      <c r="N80" s="20">
        <f t="shared" si="200"/>
        <v>53.333333333333329</v>
      </c>
      <c r="O80" s="20">
        <f t="shared" si="200"/>
        <v>53.333333333333329</v>
      </c>
      <c r="P80" s="20">
        <f t="shared" si="200"/>
        <v>53.333333333333329</v>
      </c>
      <c r="Q80" s="20">
        <f t="shared" si="200"/>
        <v>53.333333333333329</v>
      </c>
      <c r="R80" s="20">
        <f t="shared" si="200"/>
        <v>53.333333333333329</v>
      </c>
      <c r="S80" s="20">
        <f t="shared" si="198"/>
        <v>640</v>
      </c>
    </row>
    <row r="81" spans="1:21" x14ac:dyDescent="0.2">
      <c r="A81" s="24"/>
      <c r="B81" s="45"/>
      <c r="C81" s="25"/>
      <c r="D81" s="22"/>
      <c r="E81" s="71" t="s">
        <v>35</v>
      </c>
      <c r="F81" s="58"/>
      <c r="G81" s="21">
        <f>SUM(G76:G80)</f>
        <v>726.70833333333337</v>
      </c>
      <c r="H81" s="21">
        <f t="shared" ref="H81" si="201">SUM(H76:H80)</f>
        <v>726.70833333333337</v>
      </c>
      <c r="I81" s="21">
        <f t="shared" ref="I81" si="202">SUM(I76:I80)</f>
        <v>726.70833333333337</v>
      </c>
      <c r="J81" s="21">
        <f t="shared" ref="J81" si="203">SUM(J76:J80)</f>
        <v>726.70833333333337</v>
      </c>
      <c r="K81" s="21">
        <f t="shared" ref="K81" si="204">SUM(K76:K80)</f>
        <v>726.70833333333337</v>
      </c>
      <c r="L81" s="21">
        <f t="shared" ref="L81" si="205">SUM(L76:L80)</f>
        <v>726.70833333333337</v>
      </c>
      <c r="M81" s="21">
        <f t="shared" ref="M81" si="206">SUM(M76:M80)</f>
        <v>766.70833333333337</v>
      </c>
      <c r="N81" s="21">
        <f t="shared" ref="N81" si="207">SUM(N76:N80)</f>
        <v>766.70833333333337</v>
      </c>
      <c r="O81" s="21">
        <f t="shared" ref="O81" si="208">SUM(O76:O80)</f>
        <v>766.70833333333337</v>
      </c>
      <c r="P81" s="21">
        <f t="shared" ref="P81" si="209">SUM(P76:P80)</f>
        <v>766.70833333333337</v>
      </c>
      <c r="Q81" s="21">
        <f t="shared" ref="Q81" si="210">SUM(Q76:Q80)</f>
        <v>766.70833333333337</v>
      </c>
      <c r="R81" s="21">
        <f t="shared" ref="R81" si="211">SUM(R76:R80)</f>
        <v>766.70833333333337</v>
      </c>
      <c r="S81" s="80">
        <f>SUM(G81:R81)</f>
        <v>8960.5</v>
      </c>
    </row>
    <row r="82" spans="1:21" x14ac:dyDescent="0.2">
      <c r="A82" s="41"/>
      <c r="B82" s="76" t="s">
        <v>37</v>
      </c>
      <c r="C82" s="77"/>
      <c r="D82" s="73"/>
      <c r="E82" s="59" t="s">
        <v>27</v>
      </c>
      <c r="F82" s="60"/>
      <c r="G82" s="61">
        <f>(G75+G81)*$F$82</f>
        <v>0</v>
      </c>
      <c r="H82" s="61">
        <f t="shared" ref="H82:R82" si="212">(H75+H81)*$F$82</f>
        <v>0</v>
      </c>
      <c r="I82" s="61">
        <f t="shared" si="212"/>
        <v>0</v>
      </c>
      <c r="J82" s="61">
        <f t="shared" si="212"/>
        <v>0</v>
      </c>
      <c r="K82" s="61">
        <f t="shared" si="212"/>
        <v>0</v>
      </c>
      <c r="L82" s="61">
        <f t="shared" si="212"/>
        <v>0</v>
      </c>
      <c r="M82" s="61">
        <f t="shared" si="212"/>
        <v>0</v>
      </c>
      <c r="N82" s="61">
        <f t="shared" si="212"/>
        <v>0</v>
      </c>
      <c r="O82" s="61">
        <f t="shared" si="212"/>
        <v>0</v>
      </c>
      <c r="P82" s="61">
        <f t="shared" si="212"/>
        <v>0</v>
      </c>
      <c r="Q82" s="61">
        <f t="shared" si="212"/>
        <v>0</v>
      </c>
      <c r="R82" s="61">
        <f t="shared" si="212"/>
        <v>0</v>
      </c>
      <c r="S82" s="61">
        <f>SUM(G82:R82)</f>
        <v>0</v>
      </c>
      <c r="U82" s="33"/>
    </row>
    <row r="83" spans="1:21" x14ac:dyDescent="0.2">
      <c r="A83" s="13"/>
      <c r="B83" s="24"/>
      <c r="C83" s="25"/>
      <c r="D83" s="73"/>
      <c r="E83" s="64" t="s">
        <v>28</v>
      </c>
      <c r="F83" s="65">
        <v>0.9</v>
      </c>
      <c r="G83" s="66">
        <f>(G75+G81)*$F$83</f>
        <v>3054.0374999999999</v>
      </c>
      <c r="H83" s="66">
        <f t="shared" ref="H83:R83" si="213">(H75+H81)*$F$83</f>
        <v>3054.0374999999999</v>
      </c>
      <c r="I83" s="66">
        <f t="shared" si="213"/>
        <v>3054.0374999999999</v>
      </c>
      <c r="J83" s="66">
        <f t="shared" si="213"/>
        <v>3054.0374999999999</v>
      </c>
      <c r="K83" s="66">
        <f t="shared" si="213"/>
        <v>3054.0374999999999</v>
      </c>
      <c r="L83" s="66">
        <f t="shared" si="213"/>
        <v>3054.0374999999999</v>
      </c>
      <c r="M83" s="66">
        <f t="shared" si="213"/>
        <v>3090.0374999999999</v>
      </c>
      <c r="N83" s="66">
        <f t="shared" si="213"/>
        <v>3090.0374999999999</v>
      </c>
      <c r="O83" s="66">
        <f t="shared" si="213"/>
        <v>3090.0374999999999</v>
      </c>
      <c r="P83" s="66">
        <f t="shared" si="213"/>
        <v>3090.0374999999999</v>
      </c>
      <c r="Q83" s="66">
        <f t="shared" si="213"/>
        <v>3090.0374999999999</v>
      </c>
      <c r="R83" s="66">
        <f t="shared" si="213"/>
        <v>3090.0374999999999</v>
      </c>
      <c r="S83" s="66">
        <f t="shared" ref="S83" si="214">SUM(G83:R83)</f>
        <v>36864.44999999999</v>
      </c>
    </row>
    <row r="84" spans="1:21" x14ac:dyDescent="0.2">
      <c r="A84" s="13"/>
      <c r="B84" s="24"/>
      <c r="C84" s="25"/>
      <c r="D84" s="73"/>
      <c r="E84" s="67" t="s">
        <v>15</v>
      </c>
      <c r="F84" s="62">
        <v>0.1</v>
      </c>
      <c r="G84" s="63">
        <f>(G75+G81)*$F$84</f>
        <v>339.33750000000003</v>
      </c>
      <c r="H84" s="63">
        <f t="shared" ref="H84:R84" si="215">(H75+H81)*$F$84</f>
        <v>339.33750000000003</v>
      </c>
      <c r="I84" s="63">
        <f t="shared" si="215"/>
        <v>339.33750000000003</v>
      </c>
      <c r="J84" s="63">
        <f t="shared" si="215"/>
        <v>339.33750000000003</v>
      </c>
      <c r="K84" s="63">
        <f t="shared" si="215"/>
        <v>339.33750000000003</v>
      </c>
      <c r="L84" s="63">
        <f t="shared" si="215"/>
        <v>339.33750000000003</v>
      </c>
      <c r="M84" s="63">
        <f t="shared" si="215"/>
        <v>343.33750000000003</v>
      </c>
      <c r="N84" s="63">
        <f t="shared" si="215"/>
        <v>343.33750000000003</v>
      </c>
      <c r="O84" s="63">
        <f t="shared" si="215"/>
        <v>343.33750000000003</v>
      </c>
      <c r="P84" s="63">
        <f t="shared" si="215"/>
        <v>343.33750000000003</v>
      </c>
      <c r="Q84" s="63">
        <f t="shared" si="215"/>
        <v>343.33750000000003</v>
      </c>
      <c r="R84" s="63">
        <f t="shared" si="215"/>
        <v>343.33750000000003</v>
      </c>
      <c r="S84" s="63">
        <f>SUM(G84:R84)</f>
        <v>4096.05</v>
      </c>
    </row>
    <row r="85" spans="1:21" x14ac:dyDescent="0.2">
      <c r="A85" s="43"/>
      <c r="B85" s="24"/>
      <c r="C85" s="74"/>
      <c r="D85" s="75"/>
      <c r="E85" s="68" t="s">
        <v>29</v>
      </c>
      <c r="F85" s="69"/>
      <c r="G85" s="70">
        <f>(G75+G81)*$F$85</f>
        <v>0</v>
      </c>
      <c r="H85" s="70">
        <f t="shared" ref="H85:R85" si="216">(H75+H81)*$F$85</f>
        <v>0</v>
      </c>
      <c r="I85" s="70">
        <f t="shared" si="216"/>
        <v>0</v>
      </c>
      <c r="J85" s="70">
        <f t="shared" si="216"/>
        <v>0</v>
      </c>
      <c r="K85" s="70">
        <f t="shared" si="216"/>
        <v>0</v>
      </c>
      <c r="L85" s="70">
        <f t="shared" si="216"/>
        <v>0</v>
      </c>
      <c r="M85" s="70">
        <f t="shared" si="216"/>
        <v>0</v>
      </c>
      <c r="N85" s="70">
        <f t="shared" si="216"/>
        <v>0</v>
      </c>
      <c r="O85" s="70">
        <f t="shared" si="216"/>
        <v>0</v>
      </c>
      <c r="P85" s="70">
        <f t="shared" si="216"/>
        <v>0</v>
      </c>
      <c r="Q85" s="70">
        <f t="shared" si="216"/>
        <v>0</v>
      </c>
      <c r="R85" s="70">
        <f t="shared" si="216"/>
        <v>0</v>
      </c>
      <c r="S85" s="70">
        <f t="shared" ref="S85:S86" si="217">SUM(G85:R85)</f>
        <v>0</v>
      </c>
    </row>
    <row r="86" spans="1:21" x14ac:dyDescent="0.2">
      <c r="A86" s="43"/>
      <c r="B86" s="24"/>
      <c r="C86" s="74"/>
      <c r="D86" s="75"/>
      <c r="E86" s="72" t="s">
        <v>8</v>
      </c>
      <c r="F86" s="48">
        <f>SUM(F82:F85)</f>
        <v>1</v>
      </c>
      <c r="G86" s="21">
        <f>SUM(G82:G85)</f>
        <v>3393.375</v>
      </c>
      <c r="H86" s="21">
        <f t="shared" ref="H86" si="218">SUM(H82:H85)</f>
        <v>3393.375</v>
      </c>
      <c r="I86" s="21">
        <f t="shared" ref="I86" si="219">SUM(I82:I85)</f>
        <v>3393.375</v>
      </c>
      <c r="J86" s="21">
        <f t="shared" ref="J86" si="220">SUM(J82:J85)</f>
        <v>3393.375</v>
      </c>
      <c r="K86" s="21">
        <f t="shared" ref="K86" si="221">SUM(K82:K85)</f>
        <v>3393.375</v>
      </c>
      <c r="L86" s="21">
        <f t="shared" ref="L86" si="222">SUM(L82:L85)</f>
        <v>3393.375</v>
      </c>
      <c r="M86" s="21">
        <f t="shared" ref="M86" si="223">SUM(M82:M85)</f>
        <v>3433.375</v>
      </c>
      <c r="N86" s="21">
        <f t="shared" ref="N86" si="224">SUM(N82:N85)</f>
        <v>3433.375</v>
      </c>
      <c r="O86" s="21">
        <f t="shared" ref="O86" si="225">SUM(O82:O85)</f>
        <v>3433.375</v>
      </c>
      <c r="P86" s="21">
        <f t="shared" ref="P86" si="226">SUM(P82:P85)</f>
        <v>3433.375</v>
      </c>
      <c r="Q86" s="21">
        <f t="shared" ref="Q86" si="227">SUM(Q82:Q85)</f>
        <v>3433.375</v>
      </c>
      <c r="R86" s="21">
        <f t="shared" ref="R86" si="228">SUM(R82:R85)</f>
        <v>3433.375</v>
      </c>
      <c r="S86" s="80">
        <f t="shared" si="217"/>
        <v>40960.5</v>
      </c>
    </row>
    <row r="87" spans="1:21" x14ac:dyDescent="0.2">
      <c r="A87" s="43"/>
      <c r="B87" s="24"/>
      <c r="C87" s="74"/>
      <c r="D87" s="75"/>
      <c r="E87" s="78"/>
      <c r="F87" s="49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81"/>
    </row>
    <row r="88" spans="1:21" x14ac:dyDescent="0.2">
      <c r="A88" s="79" t="s">
        <v>25</v>
      </c>
      <c r="B88" s="32">
        <v>7</v>
      </c>
      <c r="C88" s="23">
        <v>15</v>
      </c>
      <c r="D88" s="19">
        <v>25</v>
      </c>
      <c r="E88" s="54" t="s">
        <v>36</v>
      </c>
      <c r="G88" s="20">
        <f>($C$88*1250)/12</f>
        <v>1562.5</v>
      </c>
      <c r="H88" s="20">
        <f t="shared" ref="H88:R88" si="229">($C$88*1250)/12</f>
        <v>1562.5</v>
      </c>
      <c r="I88" s="20">
        <f t="shared" si="229"/>
        <v>1562.5</v>
      </c>
      <c r="J88" s="20">
        <f t="shared" si="229"/>
        <v>1562.5</v>
      </c>
      <c r="K88" s="20">
        <f t="shared" si="229"/>
        <v>1562.5</v>
      </c>
      <c r="L88" s="20">
        <f t="shared" si="229"/>
        <v>1562.5</v>
      </c>
      <c r="M88" s="20">
        <f t="shared" si="229"/>
        <v>1562.5</v>
      </c>
      <c r="N88" s="20">
        <f t="shared" si="229"/>
        <v>1562.5</v>
      </c>
      <c r="O88" s="20">
        <f t="shared" si="229"/>
        <v>1562.5</v>
      </c>
      <c r="P88" s="20">
        <f t="shared" si="229"/>
        <v>1562.5</v>
      </c>
      <c r="Q88" s="20">
        <f t="shared" si="229"/>
        <v>1562.5</v>
      </c>
      <c r="R88" s="20">
        <f t="shared" si="229"/>
        <v>1562.5</v>
      </c>
      <c r="S88" s="28">
        <f>SUM(G88:R88)</f>
        <v>18750</v>
      </c>
    </row>
    <row r="89" spans="1:21" x14ac:dyDescent="0.2">
      <c r="A89" s="24"/>
      <c r="B89" s="45"/>
      <c r="C89" s="25"/>
      <c r="D89" s="22"/>
      <c r="E89" s="56" t="s">
        <v>30</v>
      </c>
      <c r="F89" s="57"/>
      <c r="G89" s="55">
        <f>G88*0.0765</f>
        <v>119.53125</v>
      </c>
      <c r="H89" s="20">
        <f t="shared" ref="H89" si="230">H88*0.0765</f>
        <v>119.53125</v>
      </c>
      <c r="I89" s="20">
        <f t="shared" ref="I89" si="231">I88*0.0765</f>
        <v>119.53125</v>
      </c>
      <c r="J89" s="20">
        <f t="shared" ref="J89" si="232">J88*0.0765</f>
        <v>119.53125</v>
      </c>
      <c r="K89" s="20">
        <f t="shared" ref="K89" si="233">K88*0.0765</f>
        <v>119.53125</v>
      </c>
      <c r="L89" s="20">
        <f t="shared" ref="L89" si="234">L88*0.0765</f>
        <v>119.53125</v>
      </c>
      <c r="M89" s="20">
        <f t="shared" ref="M89" si="235">M88*0.0765</f>
        <v>119.53125</v>
      </c>
      <c r="N89" s="20">
        <f t="shared" ref="N89" si="236">N88*0.0765</f>
        <v>119.53125</v>
      </c>
      <c r="O89" s="20">
        <f t="shared" ref="O89" si="237">O88*0.0765</f>
        <v>119.53125</v>
      </c>
      <c r="P89" s="20">
        <f t="shared" ref="P89" si="238">P88*0.0765</f>
        <v>119.53125</v>
      </c>
      <c r="Q89" s="20">
        <f t="shared" ref="Q89" si="239">Q88*0.0765</f>
        <v>119.53125</v>
      </c>
      <c r="R89" s="20">
        <f t="shared" ref="R89" si="240">R88*0.0765</f>
        <v>119.53125</v>
      </c>
      <c r="S89" s="20">
        <f t="shared" ref="S89:S93" si="241">SUM(G89:R89)</f>
        <v>1434.375</v>
      </c>
    </row>
    <row r="90" spans="1:21" x14ac:dyDescent="0.2">
      <c r="A90" s="24"/>
      <c r="B90" s="45"/>
      <c r="C90" s="25"/>
      <c r="D90" s="22"/>
      <c r="E90" s="56" t="s">
        <v>31</v>
      </c>
      <c r="F90" s="57"/>
      <c r="G90" s="55">
        <f>(27000/12)*0.0175</f>
        <v>39.375000000000007</v>
      </c>
      <c r="H90" s="20">
        <f t="shared" ref="H90:R90" si="242">(27000/12)*0.0175</f>
        <v>39.375000000000007</v>
      </c>
      <c r="I90" s="20">
        <f t="shared" si="242"/>
        <v>39.375000000000007</v>
      </c>
      <c r="J90" s="20">
        <f t="shared" si="242"/>
        <v>39.375000000000007</v>
      </c>
      <c r="K90" s="20">
        <f t="shared" si="242"/>
        <v>39.375000000000007</v>
      </c>
      <c r="L90" s="20">
        <f t="shared" si="242"/>
        <v>39.375000000000007</v>
      </c>
      <c r="M90" s="20">
        <f t="shared" si="242"/>
        <v>39.375000000000007</v>
      </c>
      <c r="N90" s="20">
        <f t="shared" si="242"/>
        <v>39.375000000000007</v>
      </c>
      <c r="O90" s="20">
        <f t="shared" si="242"/>
        <v>39.375000000000007</v>
      </c>
      <c r="P90" s="20">
        <f t="shared" si="242"/>
        <v>39.375000000000007</v>
      </c>
      <c r="Q90" s="20">
        <f t="shared" si="242"/>
        <v>39.375000000000007</v>
      </c>
      <c r="R90" s="20">
        <f t="shared" si="242"/>
        <v>39.375000000000007</v>
      </c>
      <c r="S90" s="20">
        <f t="shared" si="241"/>
        <v>472.50000000000006</v>
      </c>
    </row>
    <row r="91" spans="1:21" x14ac:dyDescent="0.2">
      <c r="A91" s="24"/>
      <c r="B91" s="45"/>
      <c r="C91" s="25"/>
      <c r="D91" s="22"/>
      <c r="E91" s="56" t="s">
        <v>32</v>
      </c>
      <c r="F91" s="57"/>
      <c r="G91" s="55">
        <v>20</v>
      </c>
      <c r="H91" s="20">
        <v>20</v>
      </c>
      <c r="I91" s="20">
        <v>20</v>
      </c>
      <c r="J91" s="20">
        <v>20</v>
      </c>
      <c r="K91" s="20">
        <v>20</v>
      </c>
      <c r="L91" s="20">
        <v>20</v>
      </c>
      <c r="M91" s="20">
        <v>20</v>
      </c>
      <c r="N91" s="20">
        <v>20</v>
      </c>
      <c r="O91" s="20">
        <v>20</v>
      </c>
      <c r="P91" s="20">
        <v>20</v>
      </c>
      <c r="Q91" s="20">
        <v>20</v>
      </c>
      <c r="R91" s="20">
        <v>20</v>
      </c>
      <c r="S91" s="20">
        <f t="shared" si="241"/>
        <v>240</v>
      </c>
    </row>
    <row r="92" spans="1:21" x14ac:dyDescent="0.2">
      <c r="A92" s="24"/>
      <c r="B92" s="45"/>
      <c r="C92" s="25"/>
      <c r="D92" s="22"/>
      <c r="E92" s="56" t="s">
        <v>33</v>
      </c>
      <c r="F92" s="57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20">
        <f t="shared" si="241"/>
        <v>0</v>
      </c>
    </row>
    <row r="93" spans="1:21" x14ac:dyDescent="0.2">
      <c r="A93" s="24"/>
      <c r="B93" s="45"/>
      <c r="C93" s="25"/>
      <c r="D93" s="22"/>
      <c r="E93" s="56" t="s">
        <v>34</v>
      </c>
      <c r="F93" s="57"/>
      <c r="G93" s="55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>
        <f t="shared" si="241"/>
        <v>0</v>
      </c>
    </row>
    <row r="94" spans="1:21" x14ac:dyDescent="0.2">
      <c r="A94" s="24"/>
      <c r="B94" s="45"/>
      <c r="C94" s="25"/>
      <c r="D94" s="22"/>
      <c r="E94" s="71" t="s">
        <v>35</v>
      </c>
      <c r="F94" s="58"/>
      <c r="G94" s="21">
        <f>SUM(G89:G93)</f>
        <v>178.90625</v>
      </c>
      <c r="H94" s="21">
        <f t="shared" ref="H94" si="243">SUM(H89:H93)</f>
        <v>178.90625</v>
      </c>
      <c r="I94" s="21">
        <f t="shared" ref="I94" si="244">SUM(I89:I93)</f>
        <v>178.90625</v>
      </c>
      <c r="J94" s="21">
        <f t="shared" ref="J94" si="245">SUM(J89:J93)</f>
        <v>178.90625</v>
      </c>
      <c r="K94" s="21">
        <f t="shared" ref="K94" si="246">SUM(K89:K93)</f>
        <v>178.90625</v>
      </c>
      <c r="L94" s="21">
        <f t="shared" ref="L94" si="247">SUM(L89:L93)</f>
        <v>178.90625</v>
      </c>
      <c r="M94" s="21">
        <f t="shared" ref="M94" si="248">SUM(M89:M93)</f>
        <v>178.90625</v>
      </c>
      <c r="N94" s="21">
        <f t="shared" ref="N94" si="249">SUM(N89:N93)</f>
        <v>178.90625</v>
      </c>
      <c r="O94" s="21">
        <f t="shared" ref="O94" si="250">SUM(O89:O93)</f>
        <v>178.90625</v>
      </c>
      <c r="P94" s="21">
        <f t="shared" ref="P94" si="251">SUM(P89:P93)</f>
        <v>178.90625</v>
      </c>
      <c r="Q94" s="21">
        <f t="shared" ref="Q94" si="252">SUM(Q89:Q93)</f>
        <v>178.90625</v>
      </c>
      <c r="R94" s="21">
        <f t="shared" ref="R94" si="253">SUM(R89:R93)</f>
        <v>178.90625</v>
      </c>
      <c r="S94" s="80">
        <f>SUM(G94:R94)</f>
        <v>2146.875</v>
      </c>
    </row>
    <row r="95" spans="1:21" x14ac:dyDescent="0.2">
      <c r="A95" s="41"/>
      <c r="B95" s="76" t="s">
        <v>37</v>
      </c>
      <c r="C95" s="77"/>
      <c r="D95" s="73"/>
      <c r="E95" s="59" t="s">
        <v>27</v>
      </c>
      <c r="F95" s="60">
        <v>0.6</v>
      </c>
      <c r="G95" s="61">
        <f>(G88+G94)*$F$95</f>
        <v>1044.84375</v>
      </c>
      <c r="H95" s="61">
        <f t="shared" ref="H95:R95" si="254">(H88+H94)*$F$95</f>
        <v>1044.84375</v>
      </c>
      <c r="I95" s="61">
        <f t="shared" si="254"/>
        <v>1044.84375</v>
      </c>
      <c r="J95" s="61">
        <f t="shared" si="254"/>
        <v>1044.84375</v>
      </c>
      <c r="K95" s="61">
        <f t="shared" si="254"/>
        <v>1044.84375</v>
      </c>
      <c r="L95" s="61">
        <f t="shared" si="254"/>
        <v>1044.84375</v>
      </c>
      <c r="M95" s="61">
        <f t="shared" si="254"/>
        <v>1044.84375</v>
      </c>
      <c r="N95" s="61">
        <f t="shared" si="254"/>
        <v>1044.84375</v>
      </c>
      <c r="O95" s="61">
        <f t="shared" si="254"/>
        <v>1044.84375</v>
      </c>
      <c r="P95" s="61">
        <f t="shared" si="254"/>
        <v>1044.84375</v>
      </c>
      <c r="Q95" s="61">
        <f t="shared" si="254"/>
        <v>1044.84375</v>
      </c>
      <c r="R95" s="61">
        <f t="shared" si="254"/>
        <v>1044.84375</v>
      </c>
      <c r="S95" s="61">
        <f>SUM(G95:R95)</f>
        <v>12538.125</v>
      </c>
      <c r="U95" s="33"/>
    </row>
    <row r="96" spans="1:21" x14ac:dyDescent="0.2">
      <c r="A96" s="13"/>
      <c r="B96" s="24"/>
      <c r="C96" s="25"/>
      <c r="D96" s="73"/>
      <c r="E96" s="64" t="s">
        <v>28</v>
      </c>
      <c r="F96" s="65">
        <v>0.4</v>
      </c>
      <c r="G96" s="66">
        <f>(G88+G94)*$F$96</f>
        <v>696.5625</v>
      </c>
      <c r="H96" s="66">
        <f t="shared" ref="H96:R96" si="255">(H88+H94)*$F$96</f>
        <v>696.5625</v>
      </c>
      <c r="I96" s="66">
        <f t="shared" si="255"/>
        <v>696.5625</v>
      </c>
      <c r="J96" s="66">
        <f t="shared" si="255"/>
        <v>696.5625</v>
      </c>
      <c r="K96" s="66">
        <f t="shared" si="255"/>
        <v>696.5625</v>
      </c>
      <c r="L96" s="66">
        <f t="shared" si="255"/>
        <v>696.5625</v>
      </c>
      <c r="M96" s="66">
        <f t="shared" si="255"/>
        <v>696.5625</v>
      </c>
      <c r="N96" s="66">
        <f t="shared" si="255"/>
        <v>696.5625</v>
      </c>
      <c r="O96" s="66">
        <f t="shared" si="255"/>
        <v>696.5625</v>
      </c>
      <c r="P96" s="66">
        <f t="shared" si="255"/>
        <v>696.5625</v>
      </c>
      <c r="Q96" s="66">
        <f t="shared" si="255"/>
        <v>696.5625</v>
      </c>
      <c r="R96" s="66">
        <f t="shared" si="255"/>
        <v>696.5625</v>
      </c>
      <c r="S96" s="66">
        <f t="shared" ref="S96" si="256">SUM(G96:R96)</f>
        <v>8358.75</v>
      </c>
    </row>
    <row r="97" spans="1:21" x14ac:dyDescent="0.2">
      <c r="A97" s="13"/>
      <c r="B97" s="24"/>
      <c r="C97" s="25"/>
      <c r="D97" s="73"/>
      <c r="E97" s="67" t="s">
        <v>15</v>
      </c>
      <c r="F97" s="62"/>
      <c r="G97" s="63">
        <f>(G88+G94)*$F$97</f>
        <v>0</v>
      </c>
      <c r="H97" s="63">
        <f t="shared" ref="H97:R97" si="257">(H88+H94)*$F$97</f>
        <v>0</v>
      </c>
      <c r="I97" s="63">
        <f t="shared" si="257"/>
        <v>0</v>
      </c>
      <c r="J97" s="63">
        <f t="shared" si="257"/>
        <v>0</v>
      </c>
      <c r="K97" s="63">
        <f t="shared" si="257"/>
        <v>0</v>
      </c>
      <c r="L97" s="63">
        <f t="shared" si="257"/>
        <v>0</v>
      </c>
      <c r="M97" s="63">
        <f t="shared" si="257"/>
        <v>0</v>
      </c>
      <c r="N97" s="63">
        <f t="shared" si="257"/>
        <v>0</v>
      </c>
      <c r="O97" s="63">
        <f t="shared" si="257"/>
        <v>0</v>
      </c>
      <c r="P97" s="63">
        <f t="shared" si="257"/>
        <v>0</v>
      </c>
      <c r="Q97" s="63">
        <f t="shared" si="257"/>
        <v>0</v>
      </c>
      <c r="R97" s="63">
        <f t="shared" si="257"/>
        <v>0</v>
      </c>
      <c r="S97" s="63">
        <f>SUM(G97:R97)</f>
        <v>0</v>
      </c>
    </row>
    <row r="98" spans="1:21" x14ac:dyDescent="0.2">
      <c r="A98" s="43"/>
      <c r="B98" s="24"/>
      <c r="C98" s="74"/>
      <c r="D98" s="75"/>
      <c r="E98" s="68" t="s">
        <v>29</v>
      </c>
      <c r="F98" s="69"/>
      <c r="G98" s="70">
        <f>(G88+G94)*$F$98</f>
        <v>0</v>
      </c>
      <c r="H98" s="70">
        <f t="shared" ref="H98:R98" si="258">(H88+H94)*$F$98</f>
        <v>0</v>
      </c>
      <c r="I98" s="70">
        <f t="shared" si="258"/>
        <v>0</v>
      </c>
      <c r="J98" s="70">
        <f t="shared" si="258"/>
        <v>0</v>
      </c>
      <c r="K98" s="70">
        <f t="shared" si="258"/>
        <v>0</v>
      </c>
      <c r="L98" s="70">
        <f t="shared" si="258"/>
        <v>0</v>
      </c>
      <c r="M98" s="70">
        <f t="shared" si="258"/>
        <v>0</v>
      </c>
      <c r="N98" s="70">
        <f t="shared" si="258"/>
        <v>0</v>
      </c>
      <c r="O98" s="70">
        <f t="shared" si="258"/>
        <v>0</v>
      </c>
      <c r="P98" s="70">
        <f t="shared" si="258"/>
        <v>0</v>
      </c>
      <c r="Q98" s="70">
        <f t="shared" si="258"/>
        <v>0</v>
      </c>
      <c r="R98" s="70">
        <f t="shared" si="258"/>
        <v>0</v>
      </c>
      <c r="S98" s="70">
        <f t="shared" ref="S98:S99" si="259">SUM(G98:R98)</f>
        <v>0</v>
      </c>
    </row>
    <row r="99" spans="1:21" x14ac:dyDescent="0.2">
      <c r="A99" s="43"/>
      <c r="B99" s="24"/>
      <c r="C99" s="74"/>
      <c r="D99" s="75"/>
      <c r="E99" s="72" t="s">
        <v>8</v>
      </c>
      <c r="F99" s="48">
        <f>SUM(F95:F98)</f>
        <v>1</v>
      </c>
      <c r="G99" s="21">
        <f>SUM(G95:G98)</f>
        <v>1741.40625</v>
      </c>
      <c r="H99" s="21">
        <f t="shared" ref="H99" si="260">SUM(H95:H98)</f>
        <v>1741.40625</v>
      </c>
      <c r="I99" s="21">
        <f t="shared" ref="I99" si="261">SUM(I95:I98)</f>
        <v>1741.40625</v>
      </c>
      <c r="J99" s="21">
        <f t="shared" ref="J99" si="262">SUM(J95:J98)</f>
        <v>1741.40625</v>
      </c>
      <c r="K99" s="21">
        <f t="shared" ref="K99" si="263">SUM(K95:K98)</f>
        <v>1741.40625</v>
      </c>
      <c r="L99" s="21">
        <f t="shared" ref="L99" si="264">SUM(L95:L98)</f>
        <v>1741.40625</v>
      </c>
      <c r="M99" s="21">
        <f t="shared" ref="M99" si="265">SUM(M95:M98)</f>
        <v>1741.40625</v>
      </c>
      <c r="N99" s="21">
        <f t="shared" ref="N99" si="266">SUM(N95:N98)</f>
        <v>1741.40625</v>
      </c>
      <c r="O99" s="21">
        <f t="shared" ref="O99" si="267">SUM(O95:O98)</f>
        <v>1741.40625</v>
      </c>
      <c r="P99" s="21">
        <f t="shared" ref="P99" si="268">SUM(P95:P98)</f>
        <v>1741.40625</v>
      </c>
      <c r="Q99" s="21">
        <f t="shared" ref="Q99" si="269">SUM(Q95:Q98)</f>
        <v>1741.40625</v>
      </c>
      <c r="R99" s="21">
        <f t="shared" ref="R99" si="270">SUM(R95:R98)</f>
        <v>1741.40625</v>
      </c>
      <c r="S99" s="80">
        <f t="shared" si="259"/>
        <v>20896.875</v>
      </c>
    </row>
    <row r="100" spans="1:21" x14ac:dyDescent="0.2">
      <c r="A100" s="43"/>
      <c r="B100" s="24"/>
      <c r="C100" s="74"/>
      <c r="D100" s="75"/>
      <c r="E100" s="78"/>
      <c r="F100" s="49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81"/>
    </row>
    <row r="101" spans="1:21" x14ac:dyDescent="0.2">
      <c r="A101" s="79" t="s">
        <v>20</v>
      </c>
      <c r="B101" s="32">
        <v>8</v>
      </c>
      <c r="C101" s="23">
        <v>35</v>
      </c>
      <c r="D101" s="19">
        <v>15</v>
      </c>
      <c r="E101" s="54" t="s">
        <v>36</v>
      </c>
      <c r="G101" s="20">
        <f>($C$101*750)/12</f>
        <v>2187.5</v>
      </c>
      <c r="H101" s="20">
        <f t="shared" ref="H101:R101" si="271">($C$101*750)/12</f>
        <v>2187.5</v>
      </c>
      <c r="I101" s="20">
        <v>3000</v>
      </c>
      <c r="J101" s="20">
        <v>3200</v>
      </c>
      <c r="K101" s="20">
        <f t="shared" si="271"/>
        <v>2187.5</v>
      </c>
      <c r="L101" s="20">
        <f t="shared" si="271"/>
        <v>2187.5</v>
      </c>
      <c r="M101" s="20">
        <f t="shared" si="271"/>
        <v>2187.5</v>
      </c>
      <c r="N101" s="20">
        <f t="shared" si="271"/>
        <v>2187.5</v>
      </c>
      <c r="O101" s="20">
        <f t="shared" si="271"/>
        <v>2187.5</v>
      </c>
      <c r="P101" s="20">
        <f t="shared" si="271"/>
        <v>2187.5</v>
      </c>
      <c r="Q101" s="20">
        <f t="shared" si="271"/>
        <v>2187.5</v>
      </c>
      <c r="R101" s="20">
        <f t="shared" si="271"/>
        <v>2187.5</v>
      </c>
      <c r="S101" s="28">
        <f>SUM(G101:R101)</f>
        <v>28075</v>
      </c>
    </row>
    <row r="102" spans="1:21" x14ac:dyDescent="0.2">
      <c r="A102" s="24"/>
      <c r="B102" s="45"/>
      <c r="C102" s="25"/>
      <c r="D102" s="22"/>
      <c r="E102" s="56" t="s">
        <v>30</v>
      </c>
      <c r="F102" s="57"/>
      <c r="G102" s="55">
        <f>G101*0.0765</f>
        <v>167.34375</v>
      </c>
      <c r="H102" s="20">
        <f t="shared" ref="H102" si="272">H101*0.0765</f>
        <v>167.34375</v>
      </c>
      <c r="I102" s="20">
        <f t="shared" ref="I102" si="273">I101*0.0765</f>
        <v>229.5</v>
      </c>
      <c r="J102" s="20">
        <f t="shared" ref="J102" si="274">J101*0.0765</f>
        <v>244.79999999999998</v>
      </c>
      <c r="K102" s="20">
        <f t="shared" ref="K102" si="275">K101*0.0765</f>
        <v>167.34375</v>
      </c>
      <c r="L102" s="20">
        <f t="shared" ref="L102" si="276">L101*0.0765</f>
        <v>167.34375</v>
      </c>
      <c r="M102" s="20">
        <f t="shared" ref="M102" si="277">M101*0.0765</f>
        <v>167.34375</v>
      </c>
      <c r="N102" s="20">
        <f t="shared" ref="N102" si="278">N101*0.0765</f>
        <v>167.34375</v>
      </c>
      <c r="O102" s="20">
        <f t="shared" ref="O102" si="279">O101*0.0765</f>
        <v>167.34375</v>
      </c>
      <c r="P102" s="20">
        <f t="shared" ref="P102" si="280">P101*0.0765</f>
        <v>167.34375</v>
      </c>
      <c r="Q102" s="20">
        <f t="shared" ref="Q102" si="281">Q101*0.0765</f>
        <v>167.34375</v>
      </c>
      <c r="R102" s="20">
        <f t="shared" ref="R102" si="282">R101*0.0765</f>
        <v>167.34375</v>
      </c>
      <c r="S102" s="20">
        <f t="shared" ref="S102:S106" si="283">SUM(G102:R102)</f>
        <v>2147.7375000000002</v>
      </c>
    </row>
    <row r="103" spans="1:21" x14ac:dyDescent="0.2">
      <c r="A103" s="24"/>
      <c r="B103" s="45"/>
      <c r="C103" s="25"/>
      <c r="D103" s="22"/>
      <c r="E103" s="56" t="s">
        <v>31</v>
      </c>
      <c r="F103" s="57"/>
      <c r="G103" s="55">
        <f>(27000/12)*0.0175</f>
        <v>39.375000000000007</v>
      </c>
      <c r="H103" s="20">
        <f t="shared" ref="H103:R103" si="284">(27000/12)*0.0175</f>
        <v>39.375000000000007</v>
      </c>
      <c r="I103" s="20">
        <f t="shared" si="284"/>
        <v>39.375000000000007</v>
      </c>
      <c r="J103" s="20">
        <f t="shared" si="284"/>
        <v>39.375000000000007</v>
      </c>
      <c r="K103" s="20">
        <f t="shared" si="284"/>
        <v>39.375000000000007</v>
      </c>
      <c r="L103" s="20">
        <f t="shared" si="284"/>
        <v>39.375000000000007</v>
      </c>
      <c r="M103" s="20">
        <f t="shared" si="284"/>
        <v>39.375000000000007</v>
      </c>
      <c r="N103" s="20">
        <f t="shared" si="284"/>
        <v>39.375000000000007</v>
      </c>
      <c r="O103" s="20">
        <f t="shared" si="284"/>
        <v>39.375000000000007</v>
      </c>
      <c r="P103" s="20">
        <f t="shared" si="284"/>
        <v>39.375000000000007</v>
      </c>
      <c r="Q103" s="20">
        <f t="shared" si="284"/>
        <v>39.375000000000007</v>
      </c>
      <c r="R103" s="20">
        <f t="shared" si="284"/>
        <v>39.375000000000007</v>
      </c>
      <c r="S103" s="20">
        <f t="shared" si="283"/>
        <v>472.50000000000006</v>
      </c>
    </row>
    <row r="104" spans="1:21" x14ac:dyDescent="0.2">
      <c r="A104" s="24"/>
      <c r="B104" s="45"/>
      <c r="C104" s="25"/>
      <c r="D104" s="22"/>
      <c r="E104" s="56" t="s">
        <v>32</v>
      </c>
      <c r="F104" s="57"/>
      <c r="G104" s="55">
        <v>20</v>
      </c>
      <c r="H104" s="20">
        <v>20</v>
      </c>
      <c r="I104" s="20">
        <v>20</v>
      </c>
      <c r="J104" s="20">
        <v>20</v>
      </c>
      <c r="K104" s="20">
        <v>20</v>
      </c>
      <c r="L104" s="20">
        <v>20</v>
      </c>
      <c r="M104" s="20">
        <v>20</v>
      </c>
      <c r="N104" s="20">
        <v>20</v>
      </c>
      <c r="O104" s="20">
        <v>20</v>
      </c>
      <c r="P104" s="20">
        <v>20</v>
      </c>
      <c r="Q104" s="20">
        <v>20</v>
      </c>
      <c r="R104" s="20">
        <v>20</v>
      </c>
      <c r="S104" s="20">
        <f t="shared" si="283"/>
        <v>240</v>
      </c>
    </row>
    <row r="105" spans="1:21" x14ac:dyDescent="0.2">
      <c r="A105" s="24"/>
      <c r="B105" s="45"/>
      <c r="C105" s="25"/>
      <c r="D105" s="22"/>
      <c r="E105" s="56" t="s">
        <v>33</v>
      </c>
      <c r="F105" s="57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20">
        <f t="shared" si="283"/>
        <v>0</v>
      </c>
    </row>
    <row r="106" spans="1:21" x14ac:dyDescent="0.2">
      <c r="A106" s="24"/>
      <c r="B106" s="45"/>
      <c r="C106" s="25"/>
      <c r="D106" s="22"/>
      <c r="E106" s="56" t="s">
        <v>34</v>
      </c>
      <c r="F106" s="57"/>
      <c r="G106" s="55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>
        <f t="shared" si="283"/>
        <v>0</v>
      </c>
    </row>
    <row r="107" spans="1:21" x14ac:dyDescent="0.2">
      <c r="A107" s="24"/>
      <c r="B107" s="45"/>
      <c r="C107" s="25"/>
      <c r="D107" s="22"/>
      <c r="E107" s="71" t="s">
        <v>35</v>
      </c>
      <c r="F107" s="58"/>
      <c r="G107" s="21">
        <f>SUM(G102:G106)</f>
        <v>226.71875</v>
      </c>
      <c r="H107" s="21">
        <f t="shared" ref="H107" si="285">SUM(H102:H106)</f>
        <v>226.71875</v>
      </c>
      <c r="I107" s="21">
        <f t="shared" ref="I107" si="286">SUM(I102:I106)</f>
        <v>288.875</v>
      </c>
      <c r="J107" s="21">
        <f t="shared" ref="J107" si="287">SUM(J102:J106)</f>
        <v>304.17500000000001</v>
      </c>
      <c r="K107" s="21">
        <f t="shared" ref="K107" si="288">SUM(K102:K106)</f>
        <v>226.71875</v>
      </c>
      <c r="L107" s="21">
        <f t="shared" ref="L107" si="289">SUM(L102:L106)</f>
        <v>226.71875</v>
      </c>
      <c r="M107" s="21">
        <f t="shared" ref="M107" si="290">SUM(M102:M106)</f>
        <v>226.71875</v>
      </c>
      <c r="N107" s="21">
        <f t="shared" ref="N107" si="291">SUM(N102:N106)</f>
        <v>226.71875</v>
      </c>
      <c r="O107" s="21">
        <f t="shared" ref="O107" si="292">SUM(O102:O106)</f>
        <v>226.71875</v>
      </c>
      <c r="P107" s="21">
        <f t="shared" ref="P107" si="293">SUM(P102:P106)</f>
        <v>226.71875</v>
      </c>
      <c r="Q107" s="21">
        <f t="shared" ref="Q107" si="294">SUM(Q102:Q106)</f>
        <v>226.71875</v>
      </c>
      <c r="R107" s="21">
        <f t="shared" ref="R107" si="295">SUM(R102:R106)</f>
        <v>226.71875</v>
      </c>
      <c r="S107" s="80">
        <f>SUM(G107:R107)</f>
        <v>2860.2375000000002</v>
      </c>
    </row>
    <row r="108" spans="1:21" x14ac:dyDescent="0.2">
      <c r="A108" s="41"/>
      <c r="B108" s="76" t="s">
        <v>37</v>
      </c>
      <c r="C108" s="77"/>
      <c r="D108" s="73"/>
      <c r="E108" s="59" t="s">
        <v>27</v>
      </c>
      <c r="F108" s="60">
        <v>0.35</v>
      </c>
      <c r="G108" s="61">
        <f>(G101+G107)*$F$108</f>
        <v>844.9765625</v>
      </c>
      <c r="H108" s="61">
        <f t="shared" ref="H108:R108" si="296">(H101+H107)*$F$108</f>
        <v>844.9765625</v>
      </c>
      <c r="I108" s="61">
        <f t="shared" si="296"/>
        <v>1151.1062499999998</v>
      </c>
      <c r="J108" s="61">
        <f t="shared" si="296"/>
        <v>1226.4612500000001</v>
      </c>
      <c r="K108" s="61">
        <f t="shared" si="296"/>
        <v>844.9765625</v>
      </c>
      <c r="L108" s="61">
        <f t="shared" si="296"/>
        <v>844.9765625</v>
      </c>
      <c r="M108" s="61">
        <f t="shared" si="296"/>
        <v>844.9765625</v>
      </c>
      <c r="N108" s="61">
        <f t="shared" si="296"/>
        <v>844.9765625</v>
      </c>
      <c r="O108" s="61">
        <f t="shared" si="296"/>
        <v>844.9765625</v>
      </c>
      <c r="P108" s="61">
        <f t="shared" si="296"/>
        <v>844.9765625</v>
      </c>
      <c r="Q108" s="61">
        <f t="shared" si="296"/>
        <v>844.9765625</v>
      </c>
      <c r="R108" s="61">
        <f t="shared" si="296"/>
        <v>844.9765625</v>
      </c>
      <c r="S108" s="61">
        <f>SUM(G108:R108)</f>
        <v>10827.333125000001</v>
      </c>
      <c r="U108" s="33"/>
    </row>
    <row r="109" spans="1:21" x14ac:dyDescent="0.2">
      <c r="A109" s="13"/>
      <c r="B109" s="24"/>
      <c r="C109" s="25"/>
      <c r="D109" s="73"/>
      <c r="E109" s="64" t="s">
        <v>28</v>
      </c>
      <c r="F109" s="65">
        <v>0.3</v>
      </c>
      <c r="G109" s="66">
        <f>(G101+G107)*$F$109</f>
        <v>724.265625</v>
      </c>
      <c r="H109" s="66">
        <f t="shared" ref="H109:R109" si="297">(H101+H107)*$F$109</f>
        <v>724.265625</v>
      </c>
      <c r="I109" s="66">
        <f t="shared" si="297"/>
        <v>986.66249999999991</v>
      </c>
      <c r="J109" s="66">
        <f t="shared" si="297"/>
        <v>1051.2525000000001</v>
      </c>
      <c r="K109" s="66">
        <f t="shared" si="297"/>
        <v>724.265625</v>
      </c>
      <c r="L109" s="66">
        <f t="shared" si="297"/>
        <v>724.265625</v>
      </c>
      <c r="M109" s="66">
        <f t="shared" si="297"/>
        <v>724.265625</v>
      </c>
      <c r="N109" s="66">
        <f t="shared" si="297"/>
        <v>724.265625</v>
      </c>
      <c r="O109" s="66">
        <f t="shared" si="297"/>
        <v>724.265625</v>
      </c>
      <c r="P109" s="66">
        <f t="shared" si="297"/>
        <v>724.265625</v>
      </c>
      <c r="Q109" s="66">
        <f t="shared" si="297"/>
        <v>724.265625</v>
      </c>
      <c r="R109" s="66">
        <f t="shared" si="297"/>
        <v>724.265625</v>
      </c>
      <c r="S109" s="66">
        <f t="shared" ref="S109" si="298">SUM(G109:R109)</f>
        <v>9280.5712500000009</v>
      </c>
    </row>
    <row r="110" spans="1:21" x14ac:dyDescent="0.2">
      <c r="A110" s="13"/>
      <c r="B110" s="24"/>
      <c r="C110" s="25"/>
      <c r="D110" s="73"/>
      <c r="E110" s="67" t="s">
        <v>15</v>
      </c>
      <c r="F110" s="62">
        <v>0.2</v>
      </c>
      <c r="G110" s="63">
        <f>(G101+G107)*$F$110</f>
        <v>482.84375</v>
      </c>
      <c r="H110" s="63">
        <f t="shared" ref="H110:R110" si="299">(H101+H107)*$F$110</f>
        <v>482.84375</v>
      </c>
      <c r="I110" s="63">
        <f t="shared" si="299"/>
        <v>657.77500000000009</v>
      </c>
      <c r="J110" s="63">
        <f t="shared" si="299"/>
        <v>700.83500000000004</v>
      </c>
      <c r="K110" s="63">
        <f t="shared" si="299"/>
        <v>482.84375</v>
      </c>
      <c r="L110" s="63">
        <f t="shared" si="299"/>
        <v>482.84375</v>
      </c>
      <c r="M110" s="63">
        <f t="shared" si="299"/>
        <v>482.84375</v>
      </c>
      <c r="N110" s="63">
        <f t="shared" si="299"/>
        <v>482.84375</v>
      </c>
      <c r="O110" s="63">
        <f t="shared" si="299"/>
        <v>482.84375</v>
      </c>
      <c r="P110" s="63">
        <f t="shared" si="299"/>
        <v>482.84375</v>
      </c>
      <c r="Q110" s="63">
        <f t="shared" si="299"/>
        <v>482.84375</v>
      </c>
      <c r="R110" s="63">
        <f t="shared" si="299"/>
        <v>482.84375</v>
      </c>
      <c r="S110" s="63">
        <f>SUM(G110:R110)</f>
        <v>6187.0475000000006</v>
      </c>
    </row>
    <row r="111" spans="1:21" x14ac:dyDescent="0.2">
      <c r="A111" s="43"/>
      <c r="B111" s="24"/>
      <c r="C111" s="74"/>
      <c r="D111" s="75"/>
      <c r="E111" s="68" t="s">
        <v>29</v>
      </c>
      <c r="F111" s="69">
        <v>0.15</v>
      </c>
      <c r="G111" s="70">
        <f>(G101+G107)*$F$111</f>
        <v>362.1328125</v>
      </c>
      <c r="H111" s="70">
        <f t="shared" ref="H111:R111" si="300">(H101+H107)*$F$111</f>
        <v>362.1328125</v>
      </c>
      <c r="I111" s="70">
        <f t="shared" si="300"/>
        <v>493.33124999999995</v>
      </c>
      <c r="J111" s="70">
        <f t="shared" si="300"/>
        <v>525.62625000000003</v>
      </c>
      <c r="K111" s="70">
        <f t="shared" si="300"/>
        <v>362.1328125</v>
      </c>
      <c r="L111" s="70">
        <f t="shared" si="300"/>
        <v>362.1328125</v>
      </c>
      <c r="M111" s="70">
        <f t="shared" si="300"/>
        <v>362.1328125</v>
      </c>
      <c r="N111" s="70">
        <f t="shared" si="300"/>
        <v>362.1328125</v>
      </c>
      <c r="O111" s="70">
        <f t="shared" si="300"/>
        <v>362.1328125</v>
      </c>
      <c r="P111" s="70">
        <f t="shared" si="300"/>
        <v>362.1328125</v>
      </c>
      <c r="Q111" s="70">
        <f t="shared" si="300"/>
        <v>362.1328125</v>
      </c>
      <c r="R111" s="70">
        <f t="shared" si="300"/>
        <v>362.1328125</v>
      </c>
      <c r="S111" s="70">
        <f t="shared" ref="S111:S112" si="301">SUM(G111:R111)</f>
        <v>4640.2856250000004</v>
      </c>
    </row>
    <row r="112" spans="1:21" x14ac:dyDescent="0.2">
      <c r="A112" s="43"/>
      <c r="B112" s="24"/>
      <c r="C112" s="74"/>
      <c r="D112" s="75"/>
      <c r="E112" s="72" t="s">
        <v>8</v>
      </c>
      <c r="F112" s="48">
        <f>SUM(F108:F111)</f>
        <v>0.99999999999999989</v>
      </c>
      <c r="G112" s="21">
        <f>SUM(G108:G111)</f>
        <v>2414.21875</v>
      </c>
      <c r="H112" s="21">
        <f t="shared" ref="H112" si="302">SUM(H108:H111)</f>
        <v>2414.21875</v>
      </c>
      <c r="I112" s="21">
        <f t="shared" ref="I112" si="303">SUM(I108:I111)</f>
        <v>3288.875</v>
      </c>
      <c r="J112" s="21">
        <f t="shared" ref="J112" si="304">SUM(J108:J111)</f>
        <v>3504.1750000000002</v>
      </c>
      <c r="K112" s="21">
        <f t="shared" ref="K112" si="305">SUM(K108:K111)</f>
        <v>2414.21875</v>
      </c>
      <c r="L112" s="21">
        <f t="shared" ref="L112" si="306">SUM(L108:L111)</f>
        <v>2414.21875</v>
      </c>
      <c r="M112" s="21">
        <f t="shared" ref="M112" si="307">SUM(M108:M111)</f>
        <v>2414.21875</v>
      </c>
      <c r="N112" s="21">
        <f t="shared" ref="N112" si="308">SUM(N108:N111)</f>
        <v>2414.21875</v>
      </c>
      <c r="O112" s="21">
        <f t="shared" ref="O112" si="309">SUM(O108:O111)</f>
        <v>2414.21875</v>
      </c>
      <c r="P112" s="21">
        <f t="shared" ref="P112" si="310">SUM(P108:P111)</f>
        <v>2414.21875</v>
      </c>
      <c r="Q112" s="21">
        <f t="shared" ref="Q112" si="311">SUM(Q108:Q111)</f>
        <v>2414.21875</v>
      </c>
      <c r="R112" s="21">
        <f t="shared" ref="R112" si="312">SUM(R108:R111)</f>
        <v>2414.21875</v>
      </c>
      <c r="S112" s="80">
        <f t="shared" si="301"/>
        <v>30935.237499999999</v>
      </c>
    </row>
    <row r="113" spans="1:21" x14ac:dyDescent="0.2">
      <c r="A113" s="43"/>
      <c r="B113" s="24"/>
      <c r="C113" s="74"/>
      <c r="D113" s="75"/>
      <c r="E113" s="78"/>
      <c r="F113" s="49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81"/>
    </row>
    <row r="114" spans="1:21" x14ac:dyDescent="0.2">
      <c r="A114" s="79" t="s">
        <v>26</v>
      </c>
      <c r="B114" s="32">
        <v>9</v>
      </c>
      <c r="C114" s="23">
        <v>45</v>
      </c>
      <c r="D114" s="19">
        <v>10</v>
      </c>
      <c r="E114" s="54" t="s">
        <v>36</v>
      </c>
      <c r="G114" s="20">
        <v>2400</v>
      </c>
      <c r="H114" s="20">
        <f>($C$114*480)/12</f>
        <v>1800</v>
      </c>
      <c r="I114" s="20">
        <f>($C$114*480)/12</f>
        <v>1800</v>
      </c>
      <c r="J114" s="20">
        <f>($C$114*480)/12</f>
        <v>1800</v>
      </c>
      <c r="K114" s="20">
        <v>2600</v>
      </c>
      <c r="L114" s="20">
        <f t="shared" ref="L114:R114" si="313">($C$114*500)/12</f>
        <v>1875</v>
      </c>
      <c r="M114" s="20">
        <f t="shared" si="313"/>
        <v>1875</v>
      </c>
      <c r="N114" s="20">
        <f t="shared" si="313"/>
        <v>1875</v>
      </c>
      <c r="O114" s="20">
        <f t="shared" si="313"/>
        <v>1875</v>
      </c>
      <c r="P114" s="20">
        <v>2500</v>
      </c>
      <c r="Q114" s="20">
        <v>2400</v>
      </c>
      <c r="R114" s="20">
        <f t="shared" si="313"/>
        <v>1875</v>
      </c>
      <c r="S114" s="28">
        <f>SUM(G114:R114)</f>
        <v>24675</v>
      </c>
    </row>
    <row r="115" spans="1:21" x14ac:dyDescent="0.2">
      <c r="A115" s="24"/>
      <c r="B115" s="45"/>
      <c r="C115" s="25"/>
      <c r="D115" s="22"/>
      <c r="E115" s="56" t="s">
        <v>30</v>
      </c>
      <c r="F115" s="57"/>
      <c r="G115" s="55">
        <f>G114*0.0765</f>
        <v>183.6</v>
      </c>
      <c r="H115" s="20">
        <f t="shared" ref="H115" si="314">H114*0.0765</f>
        <v>137.69999999999999</v>
      </c>
      <c r="I115" s="20">
        <f t="shared" ref="I115" si="315">I114*0.0765</f>
        <v>137.69999999999999</v>
      </c>
      <c r="J115" s="20">
        <f t="shared" ref="J115" si="316">J114*0.0765</f>
        <v>137.69999999999999</v>
      </c>
      <c r="K115" s="20">
        <f t="shared" ref="K115" si="317">K114*0.0765</f>
        <v>198.9</v>
      </c>
      <c r="L115" s="20">
        <f t="shared" ref="L115" si="318">L114*0.0765</f>
        <v>143.4375</v>
      </c>
      <c r="M115" s="20">
        <f t="shared" ref="M115" si="319">M114*0.0765</f>
        <v>143.4375</v>
      </c>
      <c r="N115" s="20">
        <f t="shared" ref="N115" si="320">N114*0.0765</f>
        <v>143.4375</v>
      </c>
      <c r="O115" s="20">
        <f t="shared" ref="O115" si="321">O114*0.0765</f>
        <v>143.4375</v>
      </c>
      <c r="P115" s="20">
        <f t="shared" ref="P115" si="322">P114*0.0765</f>
        <v>191.25</v>
      </c>
      <c r="Q115" s="20">
        <f t="shared" ref="Q115" si="323">Q114*0.0765</f>
        <v>183.6</v>
      </c>
      <c r="R115" s="20">
        <f t="shared" ref="R115" si="324">R114*0.0765</f>
        <v>143.4375</v>
      </c>
      <c r="S115" s="20">
        <f t="shared" ref="S115:S119" si="325">SUM(G115:R115)</f>
        <v>1887.6374999999998</v>
      </c>
    </row>
    <row r="116" spans="1:21" x14ac:dyDescent="0.2">
      <c r="A116" s="24"/>
      <c r="B116" s="45"/>
      <c r="C116" s="25"/>
      <c r="D116" s="22"/>
      <c r="E116" s="56" t="s">
        <v>31</v>
      </c>
      <c r="F116" s="57"/>
      <c r="G116" s="55">
        <f>(27000/12)*0.0175</f>
        <v>39.375000000000007</v>
      </c>
      <c r="H116" s="20">
        <f t="shared" ref="H116:R116" si="326">(27000/12)*0.0175</f>
        <v>39.375000000000007</v>
      </c>
      <c r="I116" s="20">
        <f t="shared" si="326"/>
        <v>39.375000000000007</v>
      </c>
      <c r="J116" s="20">
        <f t="shared" si="326"/>
        <v>39.375000000000007</v>
      </c>
      <c r="K116" s="20">
        <f t="shared" si="326"/>
        <v>39.375000000000007</v>
      </c>
      <c r="L116" s="20">
        <f t="shared" si="326"/>
        <v>39.375000000000007</v>
      </c>
      <c r="M116" s="20">
        <f t="shared" si="326"/>
        <v>39.375000000000007</v>
      </c>
      <c r="N116" s="20">
        <f t="shared" si="326"/>
        <v>39.375000000000007</v>
      </c>
      <c r="O116" s="20">
        <f t="shared" si="326"/>
        <v>39.375000000000007</v>
      </c>
      <c r="P116" s="20">
        <f t="shared" si="326"/>
        <v>39.375000000000007</v>
      </c>
      <c r="Q116" s="20">
        <f t="shared" si="326"/>
        <v>39.375000000000007</v>
      </c>
      <c r="R116" s="20">
        <f t="shared" si="326"/>
        <v>39.375000000000007</v>
      </c>
      <c r="S116" s="20">
        <f t="shared" si="325"/>
        <v>472.50000000000006</v>
      </c>
    </row>
    <row r="117" spans="1:21" x14ac:dyDescent="0.2">
      <c r="A117" s="24"/>
      <c r="B117" s="45"/>
      <c r="C117" s="25"/>
      <c r="D117" s="22"/>
      <c r="E117" s="56" t="s">
        <v>32</v>
      </c>
      <c r="F117" s="57"/>
      <c r="G117" s="55">
        <v>20</v>
      </c>
      <c r="H117" s="20">
        <v>20</v>
      </c>
      <c r="I117" s="20">
        <v>20</v>
      </c>
      <c r="J117" s="20">
        <v>20</v>
      </c>
      <c r="K117" s="20">
        <v>20</v>
      </c>
      <c r="L117" s="20">
        <v>20</v>
      </c>
      <c r="M117" s="20">
        <v>20</v>
      </c>
      <c r="N117" s="20">
        <v>20</v>
      </c>
      <c r="O117" s="20">
        <v>20</v>
      </c>
      <c r="P117" s="20">
        <v>20</v>
      </c>
      <c r="Q117" s="20">
        <v>20</v>
      </c>
      <c r="R117" s="20">
        <v>20</v>
      </c>
      <c r="S117" s="20">
        <f t="shared" si="325"/>
        <v>240</v>
      </c>
    </row>
    <row r="118" spans="1:21" x14ac:dyDescent="0.2">
      <c r="A118" s="24"/>
      <c r="B118" s="45"/>
      <c r="C118" s="25"/>
      <c r="D118" s="22"/>
      <c r="E118" s="56" t="s">
        <v>33</v>
      </c>
      <c r="F118" s="57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20">
        <f t="shared" si="325"/>
        <v>0</v>
      </c>
    </row>
    <row r="119" spans="1:21" x14ac:dyDescent="0.2">
      <c r="A119" s="24"/>
      <c r="B119" s="45"/>
      <c r="C119" s="25"/>
      <c r="D119" s="22"/>
      <c r="E119" s="56" t="s">
        <v>34</v>
      </c>
      <c r="F119" s="57"/>
      <c r="G119" s="55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>
        <f t="shared" si="325"/>
        <v>0</v>
      </c>
    </row>
    <row r="120" spans="1:21" x14ac:dyDescent="0.2">
      <c r="A120" s="24"/>
      <c r="B120" s="45"/>
      <c r="C120" s="25"/>
      <c r="D120" s="22"/>
      <c r="E120" s="71" t="s">
        <v>35</v>
      </c>
      <c r="F120" s="58"/>
      <c r="G120" s="21">
        <f>SUM(G115:G119)</f>
        <v>242.97499999999999</v>
      </c>
      <c r="H120" s="21">
        <f t="shared" ref="H120" si="327">SUM(H115:H119)</f>
        <v>197.07499999999999</v>
      </c>
      <c r="I120" s="21">
        <f t="shared" ref="I120" si="328">SUM(I115:I119)</f>
        <v>197.07499999999999</v>
      </c>
      <c r="J120" s="21">
        <f t="shared" ref="J120" si="329">SUM(J115:J119)</f>
        <v>197.07499999999999</v>
      </c>
      <c r="K120" s="21">
        <f t="shared" ref="K120" si="330">SUM(K115:K119)</f>
        <v>258.27499999999998</v>
      </c>
      <c r="L120" s="21">
        <f t="shared" ref="L120" si="331">SUM(L115:L119)</f>
        <v>202.8125</v>
      </c>
      <c r="M120" s="21">
        <f t="shared" ref="M120" si="332">SUM(M115:M119)</f>
        <v>202.8125</v>
      </c>
      <c r="N120" s="21">
        <f t="shared" ref="N120" si="333">SUM(N115:N119)</f>
        <v>202.8125</v>
      </c>
      <c r="O120" s="21">
        <f t="shared" ref="O120" si="334">SUM(O115:O119)</f>
        <v>202.8125</v>
      </c>
      <c r="P120" s="21">
        <f t="shared" ref="P120" si="335">SUM(P115:P119)</f>
        <v>250.625</v>
      </c>
      <c r="Q120" s="21">
        <f t="shared" ref="Q120" si="336">SUM(Q115:Q119)</f>
        <v>242.97499999999999</v>
      </c>
      <c r="R120" s="21">
        <f t="shared" ref="R120" si="337">SUM(R115:R119)</f>
        <v>202.8125</v>
      </c>
      <c r="S120" s="80">
        <f>SUM(G120:R120)</f>
        <v>2600.1374999999998</v>
      </c>
    </row>
    <row r="121" spans="1:21" x14ac:dyDescent="0.2">
      <c r="A121" s="41"/>
      <c r="B121" s="76" t="s">
        <v>37</v>
      </c>
      <c r="C121" s="77"/>
      <c r="D121" s="73"/>
      <c r="E121" s="59" t="s">
        <v>27</v>
      </c>
      <c r="F121" s="60">
        <v>0</v>
      </c>
      <c r="G121" s="61">
        <f>(G114+G120)*$F$121</f>
        <v>0</v>
      </c>
      <c r="H121" s="61">
        <f t="shared" ref="H121:R121" si="338">(H114+H120)*$F$121</f>
        <v>0</v>
      </c>
      <c r="I121" s="61">
        <f t="shared" si="338"/>
        <v>0</v>
      </c>
      <c r="J121" s="61">
        <f t="shared" si="338"/>
        <v>0</v>
      </c>
      <c r="K121" s="61">
        <f t="shared" si="338"/>
        <v>0</v>
      </c>
      <c r="L121" s="61">
        <f t="shared" si="338"/>
        <v>0</v>
      </c>
      <c r="M121" s="61">
        <f t="shared" si="338"/>
        <v>0</v>
      </c>
      <c r="N121" s="61">
        <f t="shared" si="338"/>
        <v>0</v>
      </c>
      <c r="O121" s="61">
        <f t="shared" si="338"/>
        <v>0</v>
      </c>
      <c r="P121" s="61">
        <f t="shared" si="338"/>
        <v>0</v>
      </c>
      <c r="Q121" s="61">
        <f t="shared" si="338"/>
        <v>0</v>
      </c>
      <c r="R121" s="61">
        <f t="shared" si="338"/>
        <v>0</v>
      </c>
      <c r="S121" s="61">
        <f>SUM(G121:R121)</f>
        <v>0</v>
      </c>
      <c r="U121" s="33"/>
    </row>
    <row r="122" spans="1:21" x14ac:dyDescent="0.2">
      <c r="A122" s="13"/>
      <c r="B122" s="24"/>
      <c r="C122" s="25"/>
      <c r="D122" s="73"/>
      <c r="E122" s="64" t="s">
        <v>28</v>
      </c>
      <c r="F122" s="65">
        <v>0</v>
      </c>
      <c r="G122" s="66">
        <f>(G114+G120)*$F$122</f>
        <v>0</v>
      </c>
      <c r="H122" s="66">
        <f t="shared" ref="H122:R122" si="339">(H114+H120)*$F$122</f>
        <v>0</v>
      </c>
      <c r="I122" s="66">
        <f t="shared" si="339"/>
        <v>0</v>
      </c>
      <c r="J122" s="66">
        <f t="shared" si="339"/>
        <v>0</v>
      </c>
      <c r="K122" s="66">
        <f t="shared" si="339"/>
        <v>0</v>
      </c>
      <c r="L122" s="66">
        <f t="shared" si="339"/>
        <v>0</v>
      </c>
      <c r="M122" s="66">
        <f t="shared" si="339"/>
        <v>0</v>
      </c>
      <c r="N122" s="66">
        <f t="shared" si="339"/>
        <v>0</v>
      </c>
      <c r="O122" s="66">
        <f t="shared" si="339"/>
        <v>0</v>
      </c>
      <c r="P122" s="66">
        <f t="shared" si="339"/>
        <v>0</v>
      </c>
      <c r="Q122" s="66">
        <f t="shared" si="339"/>
        <v>0</v>
      </c>
      <c r="R122" s="66">
        <f t="shared" si="339"/>
        <v>0</v>
      </c>
      <c r="S122" s="66">
        <f t="shared" ref="S122" si="340">SUM(G122:R122)</f>
        <v>0</v>
      </c>
    </row>
    <row r="123" spans="1:21" x14ac:dyDescent="0.2">
      <c r="A123" s="13"/>
      <c r="B123" s="24"/>
      <c r="C123" s="25"/>
      <c r="D123" s="73"/>
      <c r="E123" s="67" t="s">
        <v>15</v>
      </c>
      <c r="F123" s="62">
        <v>0</v>
      </c>
      <c r="G123" s="63">
        <f>(G114+G120)*$F$123</f>
        <v>0</v>
      </c>
      <c r="H123" s="63">
        <f t="shared" ref="H123:R123" si="341">(H114+H120)*$F$123</f>
        <v>0</v>
      </c>
      <c r="I123" s="63">
        <f t="shared" si="341"/>
        <v>0</v>
      </c>
      <c r="J123" s="63">
        <f t="shared" si="341"/>
        <v>0</v>
      </c>
      <c r="K123" s="63">
        <f t="shared" si="341"/>
        <v>0</v>
      </c>
      <c r="L123" s="63">
        <f t="shared" si="341"/>
        <v>0</v>
      </c>
      <c r="M123" s="63">
        <f t="shared" si="341"/>
        <v>0</v>
      </c>
      <c r="N123" s="63">
        <f t="shared" si="341"/>
        <v>0</v>
      </c>
      <c r="O123" s="63">
        <f t="shared" si="341"/>
        <v>0</v>
      </c>
      <c r="P123" s="63">
        <f t="shared" si="341"/>
        <v>0</v>
      </c>
      <c r="Q123" s="63">
        <f t="shared" si="341"/>
        <v>0</v>
      </c>
      <c r="R123" s="63">
        <f t="shared" si="341"/>
        <v>0</v>
      </c>
      <c r="S123" s="63">
        <f>SUM(G123:R123)</f>
        <v>0</v>
      </c>
    </row>
    <row r="124" spans="1:21" x14ac:dyDescent="0.2">
      <c r="A124" s="43"/>
      <c r="B124" s="24"/>
      <c r="C124" s="74"/>
      <c r="D124" s="75"/>
      <c r="E124" s="68" t="s">
        <v>29</v>
      </c>
      <c r="F124" s="69">
        <v>1</v>
      </c>
      <c r="G124" s="70">
        <f>(G114+G120)*$F$124</f>
        <v>2642.9749999999999</v>
      </c>
      <c r="H124" s="70">
        <f t="shared" ref="H124:R124" si="342">(H114+H120)*$F$124</f>
        <v>1997.075</v>
      </c>
      <c r="I124" s="70">
        <f t="shared" si="342"/>
        <v>1997.075</v>
      </c>
      <c r="J124" s="70">
        <f t="shared" si="342"/>
        <v>1997.075</v>
      </c>
      <c r="K124" s="70">
        <f t="shared" si="342"/>
        <v>2858.2750000000001</v>
      </c>
      <c r="L124" s="70">
        <f t="shared" si="342"/>
        <v>2077.8125</v>
      </c>
      <c r="M124" s="70">
        <f t="shared" si="342"/>
        <v>2077.8125</v>
      </c>
      <c r="N124" s="70">
        <f t="shared" si="342"/>
        <v>2077.8125</v>
      </c>
      <c r="O124" s="70">
        <f t="shared" si="342"/>
        <v>2077.8125</v>
      </c>
      <c r="P124" s="70">
        <f t="shared" si="342"/>
        <v>2750.625</v>
      </c>
      <c r="Q124" s="70">
        <f t="shared" si="342"/>
        <v>2642.9749999999999</v>
      </c>
      <c r="R124" s="70">
        <f t="shared" si="342"/>
        <v>2077.8125</v>
      </c>
      <c r="S124" s="70">
        <f t="shared" ref="S124:S125" si="343">SUM(G124:R124)</f>
        <v>27275.137499999997</v>
      </c>
    </row>
    <row r="125" spans="1:21" x14ac:dyDescent="0.2">
      <c r="A125" s="43"/>
      <c r="B125" s="24"/>
      <c r="C125" s="74"/>
      <c r="D125" s="75"/>
      <c r="E125" s="72" t="s">
        <v>8</v>
      </c>
      <c r="F125" s="48">
        <f>SUM(F121:F124)</f>
        <v>1</v>
      </c>
      <c r="G125" s="21">
        <f>SUM(G121:G124)</f>
        <v>2642.9749999999999</v>
      </c>
      <c r="H125" s="21">
        <f t="shared" ref="H125" si="344">SUM(H121:H124)</f>
        <v>1997.075</v>
      </c>
      <c r="I125" s="21">
        <f t="shared" ref="I125" si="345">SUM(I121:I124)</f>
        <v>1997.075</v>
      </c>
      <c r="J125" s="21">
        <f t="shared" ref="J125" si="346">SUM(J121:J124)</f>
        <v>1997.075</v>
      </c>
      <c r="K125" s="21">
        <f t="shared" ref="K125" si="347">SUM(K121:K124)</f>
        <v>2858.2750000000001</v>
      </c>
      <c r="L125" s="21">
        <f t="shared" ref="L125" si="348">SUM(L121:L124)</f>
        <v>2077.8125</v>
      </c>
      <c r="M125" s="21">
        <f t="shared" ref="M125" si="349">SUM(M121:M124)</f>
        <v>2077.8125</v>
      </c>
      <c r="N125" s="21">
        <f t="shared" ref="N125" si="350">SUM(N121:N124)</f>
        <v>2077.8125</v>
      </c>
      <c r="O125" s="21">
        <f t="shared" ref="O125" si="351">SUM(O121:O124)</f>
        <v>2077.8125</v>
      </c>
      <c r="P125" s="21">
        <f t="shared" ref="P125" si="352">SUM(P121:P124)</f>
        <v>2750.625</v>
      </c>
      <c r="Q125" s="21">
        <f t="shared" ref="Q125" si="353">SUM(Q121:Q124)</f>
        <v>2642.9749999999999</v>
      </c>
      <c r="R125" s="21">
        <f t="shared" ref="R125" si="354">SUM(R121:R124)</f>
        <v>2077.8125</v>
      </c>
      <c r="S125" s="80">
        <f t="shared" si="343"/>
        <v>27275.137499999997</v>
      </c>
    </row>
    <row r="126" spans="1:21" x14ac:dyDescent="0.2">
      <c r="A126" s="43"/>
      <c r="B126" s="24"/>
      <c r="C126" s="74"/>
      <c r="D126" s="75"/>
      <c r="E126" s="78"/>
      <c r="F126" s="49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156" t="s">
        <v>8</v>
      </c>
      <c r="S126" s="20">
        <f>S20+S34+S47+S60+S73++S86+S99+S112+S125</f>
        <v>431969.5</v>
      </c>
    </row>
    <row r="127" spans="1:21" x14ac:dyDescent="0.2">
      <c r="A127" s="43"/>
      <c r="B127" s="24"/>
      <c r="C127" s="74"/>
      <c r="D127" s="75"/>
      <c r="E127" s="246" t="s">
        <v>140</v>
      </c>
      <c r="F127" s="241" t="s">
        <v>143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81"/>
    </row>
    <row r="128" spans="1:21" x14ac:dyDescent="0.2">
      <c r="A128" s="13"/>
      <c r="B128" s="24"/>
      <c r="C128" s="25"/>
      <c r="D128" s="96"/>
      <c r="E128" s="247" t="s">
        <v>141</v>
      </c>
      <c r="F128" s="242" t="s">
        <v>141</v>
      </c>
      <c r="G128" s="103" t="s">
        <v>14</v>
      </c>
      <c r="H128" s="103" t="s">
        <v>0</v>
      </c>
      <c r="I128" s="103" t="s">
        <v>1</v>
      </c>
      <c r="J128" s="103" t="s">
        <v>73</v>
      </c>
      <c r="K128" s="103" t="s">
        <v>3</v>
      </c>
      <c r="L128" s="103" t="s">
        <v>22</v>
      </c>
      <c r="M128" s="103" t="s">
        <v>23</v>
      </c>
      <c r="N128" s="103" t="s">
        <v>74</v>
      </c>
      <c r="O128" s="103" t="s">
        <v>24</v>
      </c>
      <c r="P128" s="103" t="s">
        <v>5</v>
      </c>
      <c r="Q128" s="103" t="s">
        <v>6</v>
      </c>
      <c r="R128" s="103" t="s">
        <v>7</v>
      </c>
      <c r="S128" s="16"/>
      <c r="T128" s="34"/>
    </row>
    <row r="129" spans="1:19" s="30" customFormat="1" x14ac:dyDescent="0.2">
      <c r="A129" s="82" t="s">
        <v>39</v>
      </c>
      <c r="B129" s="83"/>
      <c r="C129" s="84"/>
      <c r="D129" s="97">
        <f>S15+S29+S43+S56+S69+S82+S95+S108+S121</f>
        <v>152357.208125</v>
      </c>
      <c r="E129" s="152">
        <f>D129/D134</f>
        <v>0.35270362404058619</v>
      </c>
      <c r="F129" s="240">
        <f>F15+F56+F29+F43+F69+F82+F95+F108+F121</f>
        <v>3.25</v>
      </c>
      <c r="G129" s="157">
        <f>G15+G29+G43+G56+G69+G82+G95+G108+G121</f>
        <v>12565.6328125</v>
      </c>
      <c r="H129" s="157">
        <f t="shared" ref="H129:R129" si="355">H15+H29+H43+H56+H69+H82+H95+H108+H121</f>
        <v>12565.6328125</v>
      </c>
      <c r="I129" s="157">
        <f t="shared" si="355"/>
        <v>12871.762500000001</v>
      </c>
      <c r="J129" s="157">
        <f t="shared" si="355"/>
        <v>12947.1175</v>
      </c>
      <c r="K129" s="157">
        <f t="shared" si="355"/>
        <v>12565.6328125</v>
      </c>
      <c r="L129" s="157">
        <f t="shared" si="355"/>
        <v>12565.6328125</v>
      </c>
      <c r="M129" s="157">
        <f t="shared" si="355"/>
        <v>12712.6328125</v>
      </c>
      <c r="N129" s="157">
        <f t="shared" si="355"/>
        <v>12712.6328125</v>
      </c>
      <c r="O129" s="157">
        <f t="shared" si="355"/>
        <v>12712.6328125</v>
      </c>
      <c r="P129" s="157">
        <f t="shared" si="355"/>
        <v>12712.6328125</v>
      </c>
      <c r="Q129" s="157">
        <f t="shared" si="355"/>
        <v>12712.6328125</v>
      </c>
      <c r="R129" s="157">
        <f t="shared" si="355"/>
        <v>12712.6328125</v>
      </c>
      <c r="S129" s="157">
        <f>SUM(salary_expense)</f>
        <v>152357.208125</v>
      </c>
    </row>
    <row r="130" spans="1:19" s="10" customFormat="1" x14ac:dyDescent="0.2">
      <c r="A130" s="86" t="s">
        <v>40</v>
      </c>
      <c r="B130" s="87"/>
      <c r="C130" s="88"/>
      <c r="D130" s="98">
        <f>S16+S30+S44+S57+S70+S83+S96+S109+S122</f>
        <v>122884.00875000001</v>
      </c>
      <c r="E130" s="153">
        <f>D130/D134</f>
        <v>0.28447380833600522</v>
      </c>
      <c r="F130" s="243">
        <f>F16+F30+F57+F70+F83+F96+F109+F122</f>
        <v>2.82</v>
      </c>
      <c r="G130" s="158">
        <f>G16+G30+G44+G57+G70+G83+G96+G109+G122</f>
        <v>10161.06875</v>
      </c>
      <c r="H130" s="158">
        <f t="shared" ref="H130:R130" si="356">H16+H30+H44+H57+H70+H83+H96+H109+H122</f>
        <v>10161.06875</v>
      </c>
      <c r="I130" s="158">
        <f t="shared" si="356"/>
        <v>10423.465625000001</v>
      </c>
      <c r="J130" s="158">
        <f t="shared" si="356"/>
        <v>10488.055625000001</v>
      </c>
      <c r="K130" s="158">
        <f t="shared" si="356"/>
        <v>10161.06875</v>
      </c>
      <c r="L130" s="158">
        <f t="shared" si="356"/>
        <v>10161.06875</v>
      </c>
      <c r="M130" s="158">
        <f t="shared" si="356"/>
        <v>10221.36875</v>
      </c>
      <c r="N130" s="158">
        <f t="shared" si="356"/>
        <v>10221.36875</v>
      </c>
      <c r="O130" s="158">
        <f t="shared" si="356"/>
        <v>10221.36875</v>
      </c>
      <c r="P130" s="158">
        <f t="shared" si="356"/>
        <v>10221.36875</v>
      </c>
      <c r="Q130" s="158">
        <f t="shared" si="356"/>
        <v>10221.36875</v>
      </c>
      <c r="R130" s="158">
        <f t="shared" si="356"/>
        <v>10221.36875</v>
      </c>
      <c r="S130" s="66">
        <f>SUM(G130:R130)</f>
        <v>122884.00874999996</v>
      </c>
    </row>
    <row r="131" spans="1:19" x14ac:dyDescent="0.2">
      <c r="A131" s="89" t="s">
        <v>41</v>
      </c>
      <c r="B131" s="90"/>
      <c r="C131" s="91"/>
      <c r="D131" s="99">
        <f>S17+S31+S45+S58+S71+S84+S97+S110+S123</f>
        <v>53294.36</v>
      </c>
      <c r="E131" s="154">
        <f>D131/D134</f>
        <v>0.12337528459763941</v>
      </c>
      <c r="F131" s="244">
        <f>F17+F31+F45+F58+F71+F84+F97+F110+F123</f>
        <v>0.84999999999999987</v>
      </c>
      <c r="G131" s="159">
        <f>G17+G31+G45+G58+G71+G84+G97+G110+G123</f>
        <v>4383.953125</v>
      </c>
      <c r="H131" s="159">
        <f t="shared" ref="H131:R131" si="357">H17+H31+H45+H58+H71+H84+H97+H110+H123</f>
        <v>4383.953125</v>
      </c>
      <c r="I131" s="159">
        <f t="shared" si="357"/>
        <v>4558.8843749999996</v>
      </c>
      <c r="J131" s="159">
        <f t="shared" si="357"/>
        <v>4601.944375</v>
      </c>
      <c r="K131" s="159">
        <f t="shared" si="357"/>
        <v>4383.953125</v>
      </c>
      <c r="L131" s="159">
        <f t="shared" si="357"/>
        <v>4383.953125</v>
      </c>
      <c r="M131" s="159">
        <f t="shared" si="357"/>
        <v>4432.953125</v>
      </c>
      <c r="N131" s="159">
        <f t="shared" si="357"/>
        <v>4432.953125</v>
      </c>
      <c r="O131" s="159">
        <f t="shared" si="357"/>
        <v>4432.953125</v>
      </c>
      <c r="P131" s="159">
        <f t="shared" si="357"/>
        <v>4432.953125</v>
      </c>
      <c r="Q131" s="159">
        <f t="shared" si="357"/>
        <v>4432.953125</v>
      </c>
      <c r="R131" s="159">
        <f t="shared" si="357"/>
        <v>4432.953125</v>
      </c>
      <c r="S131" s="63">
        <f>SUM(G131:R131)</f>
        <v>53294.36</v>
      </c>
    </row>
    <row r="132" spans="1:19" x14ac:dyDescent="0.2">
      <c r="A132" s="272" t="s">
        <v>160</v>
      </c>
      <c r="B132" s="273"/>
      <c r="C132" s="274"/>
      <c r="D132" s="275">
        <f>S18+S32</f>
        <v>34932</v>
      </c>
      <c r="E132" s="276">
        <f>D132/D134</f>
        <v>8.0866820458388847E-2</v>
      </c>
      <c r="F132" s="277">
        <f>F18+F32</f>
        <v>0.48000000000000004</v>
      </c>
      <c r="G132" s="278">
        <f>G18+G32</f>
        <v>2889.4</v>
      </c>
      <c r="H132" s="278">
        <f t="shared" ref="H132:R132" si="358">H18+H32</f>
        <v>2889.4</v>
      </c>
      <c r="I132" s="278">
        <f t="shared" si="358"/>
        <v>2889.4</v>
      </c>
      <c r="J132" s="278">
        <f t="shared" si="358"/>
        <v>2889.4</v>
      </c>
      <c r="K132" s="278">
        <f t="shared" si="358"/>
        <v>2889.4</v>
      </c>
      <c r="L132" s="278">
        <f t="shared" si="358"/>
        <v>2889.4</v>
      </c>
      <c r="M132" s="278">
        <f t="shared" si="358"/>
        <v>2932.6</v>
      </c>
      <c r="N132" s="278">
        <f t="shared" si="358"/>
        <v>2932.6</v>
      </c>
      <c r="O132" s="278">
        <f t="shared" si="358"/>
        <v>2932.6</v>
      </c>
      <c r="P132" s="278">
        <f t="shared" si="358"/>
        <v>2932.6</v>
      </c>
      <c r="Q132" s="278">
        <f t="shared" si="358"/>
        <v>2932.6</v>
      </c>
      <c r="R132" s="278">
        <f t="shared" si="358"/>
        <v>2932.6</v>
      </c>
      <c r="S132" s="63">
        <f>SUM(G132:R132)</f>
        <v>34931.999999999993</v>
      </c>
    </row>
    <row r="133" spans="1:19" x14ac:dyDescent="0.2">
      <c r="A133" s="92" t="s">
        <v>42</v>
      </c>
      <c r="B133" s="93"/>
      <c r="C133" s="94"/>
      <c r="D133" s="100">
        <f>S19+S33+S46+S59+S72+S85+S98+S111+S124</f>
        <v>68501.923125000001</v>
      </c>
      <c r="E133" s="155">
        <f>D133/D134</f>
        <v>0.15858046256738034</v>
      </c>
      <c r="F133" s="248">
        <f>F19+F33+F46+F59+F72+F85+F98+F111+F124</f>
        <v>1.6</v>
      </c>
      <c r="G133" s="160">
        <f t="shared" ref="G133:R133" si="359">G19+G33+G46+G59+G72+G85+G98+G111+G124</f>
        <v>6033.7328125000004</v>
      </c>
      <c r="H133" s="160">
        <f t="shared" si="359"/>
        <v>5387.8328124999998</v>
      </c>
      <c r="I133" s="160">
        <f t="shared" si="359"/>
        <v>5519.03125</v>
      </c>
      <c r="J133" s="160">
        <f t="shared" si="359"/>
        <v>5551.3262500000001</v>
      </c>
      <c r="K133" s="160">
        <f t="shared" si="359"/>
        <v>6249.0328124999996</v>
      </c>
      <c r="L133" s="160">
        <f t="shared" si="359"/>
        <v>5468.5703125</v>
      </c>
      <c r="M133" s="160">
        <f t="shared" si="359"/>
        <v>5509.0703125</v>
      </c>
      <c r="N133" s="160">
        <f t="shared" si="359"/>
        <v>5509.0703125</v>
      </c>
      <c r="O133" s="160">
        <f t="shared" si="359"/>
        <v>5509.0703125</v>
      </c>
      <c r="P133" s="160">
        <f t="shared" si="359"/>
        <v>6181.8828125</v>
      </c>
      <c r="Q133" s="160">
        <f t="shared" si="359"/>
        <v>6074.2328125000004</v>
      </c>
      <c r="R133" s="160">
        <f t="shared" si="359"/>
        <v>5509.0703125</v>
      </c>
      <c r="S133" s="70">
        <f>SUM(G133:R133)</f>
        <v>68501.923125000001</v>
      </c>
    </row>
    <row r="134" spans="1:19" x14ac:dyDescent="0.2">
      <c r="A134" s="95" t="s">
        <v>8</v>
      </c>
      <c r="C134" s="15"/>
      <c r="D134" s="101">
        <f>SUM(D129:D133)</f>
        <v>431969.5</v>
      </c>
      <c r="E134" s="102">
        <f>SUM(E129:E133)</f>
        <v>1</v>
      </c>
      <c r="F134" s="245">
        <f>SUM(F129:F133)</f>
        <v>9</v>
      </c>
      <c r="G134" s="20">
        <f>SUM(G129:G133)</f>
        <v>36033.787499999999</v>
      </c>
      <c r="H134" s="20">
        <f t="shared" ref="H134:Q134" si="360">SUM(H129:H133)</f>
        <v>35387.887499999997</v>
      </c>
      <c r="I134" s="20">
        <f t="shared" si="360"/>
        <v>36262.543750000004</v>
      </c>
      <c r="J134" s="20">
        <f t="shared" si="360"/>
        <v>36477.84375</v>
      </c>
      <c r="K134" s="20">
        <f t="shared" si="360"/>
        <v>36249.087500000001</v>
      </c>
      <c r="L134" s="20">
        <f t="shared" si="360"/>
        <v>35468.625</v>
      </c>
      <c r="M134" s="20">
        <f t="shared" si="360"/>
        <v>35808.625</v>
      </c>
      <c r="N134" s="20">
        <f t="shared" si="360"/>
        <v>35808.625</v>
      </c>
      <c r="O134" s="20">
        <f t="shared" si="360"/>
        <v>35808.625</v>
      </c>
      <c r="P134" s="20">
        <f t="shared" si="360"/>
        <v>36481.4375</v>
      </c>
      <c r="Q134" s="20">
        <f t="shared" si="360"/>
        <v>36373.787499999999</v>
      </c>
      <c r="R134" s="20">
        <f t="shared" ref="R134" si="361">SUM(R129:R133)</f>
        <v>35808.625</v>
      </c>
      <c r="S134" s="20">
        <f t="shared" ref="S134" si="362">SUM(S129:S133)</f>
        <v>431969.5</v>
      </c>
    </row>
    <row r="135" spans="1:19" x14ac:dyDescent="0.2">
      <c r="C135" s="15"/>
      <c r="E135" s="102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5" x14ac:dyDescent="0.35">
      <c r="A136" s="95" t="s">
        <v>111</v>
      </c>
      <c r="C136" s="199">
        <f t="shared" ref="C136:C141" si="363">S8+S22+S36+S49+S62+S75+S88+S101+S114</f>
        <v>358000</v>
      </c>
      <c r="E136" s="53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ht="15" x14ac:dyDescent="0.35">
      <c r="A137" s="95" t="s">
        <v>112</v>
      </c>
      <c r="B137" s="26"/>
      <c r="C137" s="199">
        <f t="shared" si="363"/>
        <v>27387</v>
      </c>
      <c r="D137" s="27"/>
      <c r="E137" s="54"/>
      <c r="F137" s="4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x14ac:dyDescent="0.2">
      <c r="A138" s="95" t="s">
        <v>113</v>
      </c>
      <c r="C138" s="199">
        <f t="shared" si="363"/>
        <v>4252.5000000000009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x14ac:dyDescent="0.2">
      <c r="A139" s="95" t="s">
        <v>114</v>
      </c>
      <c r="C139" s="199">
        <f t="shared" si="363"/>
        <v>2160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x14ac:dyDescent="0.2">
      <c r="A140" s="95" t="s">
        <v>115</v>
      </c>
      <c r="C140" s="199">
        <f t="shared" si="363"/>
        <v>34440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x14ac:dyDescent="0.2">
      <c r="A141" s="95" t="s">
        <v>116</v>
      </c>
      <c r="C141" s="199">
        <f t="shared" si="363"/>
        <v>5730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x14ac:dyDescent="0.2">
      <c r="A142" s="3"/>
      <c r="C142" s="199">
        <f>SUM(C136:C141)</f>
        <v>431969.5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x14ac:dyDescent="0.2"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x14ac:dyDescent="0.2"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7:19" x14ac:dyDescent="0.2"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7:19" x14ac:dyDescent="0.2"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7:19" x14ac:dyDescent="0.2"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7:19" x14ac:dyDescent="0.2"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7:19" x14ac:dyDescent="0.2"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7:19" x14ac:dyDescent="0.2"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7:19" x14ac:dyDescent="0.2"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7:19" x14ac:dyDescent="0.2"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7:19" x14ac:dyDescent="0.2"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7:19" x14ac:dyDescent="0.2"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7:19" x14ac:dyDescent="0.2"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7:19" x14ac:dyDescent="0.2"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7:19" x14ac:dyDescent="0.2"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7:19" x14ac:dyDescent="0.2"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7:19" x14ac:dyDescent="0.2"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7:19" x14ac:dyDescent="0.2"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7:19" x14ac:dyDescent="0.2"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</sheetData>
  <mergeCells count="1">
    <mergeCell ref="G4:R4"/>
  </mergeCells>
  <phoneticPr fontId="3" type="noConversion"/>
  <pageMargins left="0.17" right="0.17" top="0.5" bottom="0.5" header="0.2" footer="0.2"/>
  <pageSetup orientation="portrait" r:id="rId1"/>
  <headerFooter alignWithMargins="0">
    <oddFooter>&amp;L&amp;"Arial,Bold"&amp;8&amp;D&amp;R&amp;"Arial,Bold"&amp;8Page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C39" sqref="C39"/>
    </sheetView>
  </sheetViews>
  <sheetFormatPr defaultColWidth="8.85546875" defaultRowHeight="12.75" outlineLevelCol="1" x14ac:dyDescent="0.2"/>
  <cols>
    <col min="1" max="1" width="7.42578125" style="109" customWidth="1"/>
    <col min="2" max="2" width="7.28515625" style="110" customWidth="1"/>
    <col min="3" max="3" width="8" style="1" customWidth="1"/>
    <col min="4" max="4" width="18.42578125" style="109" customWidth="1"/>
    <col min="5" max="5" width="14.28515625" style="1" customWidth="1"/>
    <col min="6" max="6" width="9.42578125" style="118" customWidth="1" outlineLevel="1"/>
    <col min="7" max="17" width="8.5703125" style="119" customWidth="1" outlineLevel="1"/>
    <col min="18" max="18" width="9.85546875" style="109" customWidth="1"/>
    <col min="19" max="21" width="8.85546875" style="109"/>
  </cols>
  <sheetData>
    <row r="1" spans="1:21" s="16" customFormat="1" x14ac:dyDescent="0.2">
      <c r="A1" s="104" t="str">
        <f>+'Summary budget'!A1</f>
        <v>The most bestest nonprofit</v>
      </c>
      <c r="B1" s="51"/>
      <c r="C1" s="105"/>
      <c r="D1" s="14"/>
      <c r="E1" s="51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06"/>
      <c r="S1" s="107"/>
      <c r="T1" s="107"/>
      <c r="U1" s="107"/>
    </row>
    <row r="2" spans="1:21" s="16" customFormat="1" x14ac:dyDescent="0.2">
      <c r="A2" s="104" t="str">
        <f>+'Summary budget'!A2</f>
        <v>2014 Budget</v>
      </c>
      <c r="B2" s="51"/>
      <c r="C2" s="105"/>
      <c r="D2" s="14"/>
      <c r="E2" s="51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06"/>
      <c r="S2" s="107"/>
      <c r="T2" s="107"/>
      <c r="U2" s="107"/>
    </row>
    <row r="3" spans="1:21" s="16" customFormat="1" x14ac:dyDescent="0.2">
      <c r="A3" s="104" t="s">
        <v>44</v>
      </c>
      <c r="B3" s="51"/>
      <c r="C3" s="105"/>
      <c r="D3" s="14"/>
      <c r="E3" s="51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06"/>
      <c r="S3" s="107"/>
      <c r="T3" s="107"/>
      <c r="U3" s="107"/>
    </row>
    <row r="4" spans="1:21" s="16" customFormat="1" x14ac:dyDescent="0.2">
      <c r="A4" s="105"/>
      <c r="B4" s="51"/>
      <c r="C4" s="105"/>
      <c r="D4" s="14"/>
      <c r="E4" s="111" t="s">
        <v>142</v>
      </c>
      <c r="F4" s="285" t="str">
        <f>'Summary budget'!A2</f>
        <v>2014 Budget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120"/>
      <c r="S4" s="107"/>
      <c r="T4" s="107"/>
      <c r="U4" s="107"/>
    </row>
    <row r="5" spans="1:21" s="9" customFormat="1" x14ac:dyDescent="0.2">
      <c r="A5" s="105"/>
      <c r="B5" s="51"/>
      <c r="C5" s="105"/>
      <c r="D5" s="85" t="s">
        <v>57</v>
      </c>
      <c r="E5" s="111" t="s">
        <v>56</v>
      </c>
      <c r="F5" s="115" t="s">
        <v>14</v>
      </c>
      <c r="G5" s="115" t="s">
        <v>0</v>
      </c>
      <c r="H5" s="115" t="s">
        <v>1</v>
      </c>
      <c r="I5" s="115" t="s">
        <v>2</v>
      </c>
      <c r="J5" s="115" t="s">
        <v>3</v>
      </c>
      <c r="K5" s="115" t="s">
        <v>22</v>
      </c>
      <c r="L5" s="115" t="s">
        <v>23</v>
      </c>
      <c r="M5" s="115" t="s">
        <v>4</v>
      </c>
      <c r="N5" s="115" t="s">
        <v>24</v>
      </c>
      <c r="O5" s="115" t="s">
        <v>5</v>
      </c>
      <c r="P5" s="115" t="s">
        <v>6</v>
      </c>
      <c r="Q5" s="115" t="s">
        <v>7</v>
      </c>
      <c r="R5" s="46" t="s">
        <v>8</v>
      </c>
      <c r="S5" s="108"/>
      <c r="T5" s="108"/>
      <c r="U5" s="108"/>
    </row>
    <row r="7" spans="1:21" x14ac:dyDescent="0.2">
      <c r="A7" s="113" t="s">
        <v>45</v>
      </c>
    </row>
    <row r="8" spans="1:21" x14ac:dyDescent="0.2">
      <c r="B8" s="111" t="s">
        <v>46</v>
      </c>
      <c r="F8" s="118">
        <v>1500</v>
      </c>
      <c r="G8" s="118">
        <v>1500</v>
      </c>
      <c r="H8" s="118">
        <v>1500</v>
      </c>
      <c r="I8" s="118">
        <v>1500</v>
      </c>
      <c r="J8" s="118">
        <v>1500</v>
      </c>
      <c r="K8" s="118">
        <v>1500</v>
      </c>
      <c r="L8" s="118">
        <v>1500</v>
      </c>
      <c r="M8" s="118">
        <v>1500</v>
      </c>
      <c r="N8" s="118">
        <v>1600</v>
      </c>
      <c r="O8" s="118">
        <v>1600</v>
      </c>
      <c r="P8" s="118">
        <v>1600</v>
      </c>
      <c r="Q8" s="118">
        <v>1600</v>
      </c>
      <c r="R8" s="116">
        <f t="shared" ref="R8:R18" si="0">SUM(F8:Q8)</f>
        <v>18400</v>
      </c>
    </row>
    <row r="9" spans="1:21" x14ac:dyDescent="0.2">
      <c r="B9" s="111" t="s">
        <v>54</v>
      </c>
      <c r="F9" s="118">
        <v>300</v>
      </c>
      <c r="G9" s="118">
        <v>300</v>
      </c>
      <c r="H9" s="118">
        <v>300</v>
      </c>
      <c r="I9" s="118">
        <v>300</v>
      </c>
      <c r="J9" s="118">
        <v>300</v>
      </c>
      <c r="K9" s="118">
        <v>300</v>
      </c>
      <c r="L9" s="118">
        <v>300</v>
      </c>
      <c r="M9" s="118">
        <v>300</v>
      </c>
      <c r="N9" s="118">
        <v>300</v>
      </c>
      <c r="R9" s="116">
        <f t="shared" si="0"/>
        <v>2700</v>
      </c>
    </row>
    <row r="10" spans="1:21" x14ac:dyDescent="0.2">
      <c r="B10" s="111" t="s">
        <v>117</v>
      </c>
      <c r="F10" s="118">
        <v>75</v>
      </c>
      <c r="G10" s="118">
        <v>75</v>
      </c>
      <c r="H10" s="118">
        <v>75</v>
      </c>
      <c r="I10" s="118">
        <v>75</v>
      </c>
      <c r="J10" s="118">
        <v>75</v>
      </c>
      <c r="K10" s="118">
        <v>75</v>
      </c>
      <c r="L10" s="118">
        <v>75</v>
      </c>
      <c r="M10" s="118">
        <v>75</v>
      </c>
      <c r="N10" s="118">
        <v>75</v>
      </c>
      <c r="O10" s="118">
        <v>75</v>
      </c>
      <c r="P10" s="118">
        <v>75</v>
      </c>
      <c r="Q10" s="118">
        <v>75</v>
      </c>
      <c r="R10" s="116">
        <f t="shared" si="0"/>
        <v>900</v>
      </c>
    </row>
    <row r="11" spans="1:21" x14ac:dyDescent="0.2">
      <c r="B11" s="111" t="s">
        <v>47</v>
      </c>
      <c r="F11" s="118">
        <v>500</v>
      </c>
      <c r="G11" s="118">
        <v>500</v>
      </c>
      <c r="H11" s="118">
        <v>500</v>
      </c>
      <c r="I11" s="118">
        <v>500</v>
      </c>
      <c r="J11" s="118">
        <v>500</v>
      </c>
      <c r="K11" s="118">
        <v>500</v>
      </c>
      <c r="L11" s="118">
        <v>500</v>
      </c>
      <c r="M11" s="118">
        <v>500</v>
      </c>
      <c r="N11" s="118">
        <v>500</v>
      </c>
      <c r="O11" s="118">
        <v>550</v>
      </c>
      <c r="P11" s="118">
        <v>550</v>
      </c>
      <c r="Q11" s="118">
        <v>550</v>
      </c>
      <c r="R11" s="116">
        <f t="shared" si="0"/>
        <v>6150</v>
      </c>
    </row>
    <row r="12" spans="1:21" x14ac:dyDescent="0.2">
      <c r="B12" s="111" t="s">
        <v>48</v>
      </c>
      <c r="F12" s="118">
        <v>300</v>
      </c>
      <c r="G12" s="119">
        <v>300</v>
      </c>
      <c r="H12" s="119">
        <v>275</v>
      </c>
      <c r="I12" s="119">
        <v>275</v>
      </c>
      <c r="J12" s="119">
        <v>300</v>
      </c>
      <c r="K12" s="119">
        <v>350</v>
      </c>
      <c r="L12" s="119">
        <v>400</v>
      </c>
      <c r="M12" s="119">
        <v>450</v>
      </c>
      <c r="N12" s="119">
        <v>400</v>
      </c>
      <c r="O12" s="119">
        <v>300</v>
      </c>
      <c r="P12" s="119">
        <v>300</v>
      </c>
      <c r="Q12" s="119">
        <v>300</v>
      </c>
      <c r="R12" s="116">
        <f t="shared" si="0"/>
        <v>3950</v>
      </c>
    </row>
    <row r="13" spans="1:21" x14ac:dyDescent="0.2">
      <c r="B13" s="111" t="s">
        <v>58</v>
      </c>
      <c r="F13" s="118">
        <v>750</v>
      </c>
      <c r="L13" s="119">
        <v>750</v>
      </c>
      <c r="R13" s="116">
        <f t="shared" si="0"/>
        <v>1500</v>
      </c>
    </row>
    <row r="14" spans="1:21" x14ac:dyDescent="0.2">
      <c r="B14" s="111" t="s">
        <v>49</v>
      </c>
      <c r="F14" s="118">
        <v>600</v>
      </c>
      <c r="G14" s="119">
        <v>600</v>
      </c>
      <c r="H14" s="119">
        <v>450</v>
      </c>
      <c r="I14" s="119">
        <v>350</v>
      </c>
      <c r="J14" s="119">
        <v>150</v>
      </c>
      <c r="K14" s="119">
        <v>150</v>
      </c>
      <c r="L14" s="119">
        <v>150</v>
      </c>
      <c r="M14" s="119">
        <v>150</v>
      </c>
      <c r="N14" s="119">
        <v>200</v>
      </c>
      <c r="O14" s="119">
        <v>300</v>
      </c>
      <c r="P14" s="119">
        <v>475</v>
      </c>
      <c r="Q14" s="119">
        <v>550</v>
      </c>
      <c r="R14" s="116">
        <f t="shared" si="0"/>
        <v>4125</v>
      </c>
    </row>
    <row r="15" spans="1:21" x14ac:dyDescent="0.2">
      <c r="B15" s="111" t="s">
        <v>50</v>
      </c>
      <c r="F15" s="118">
        <v>75</v>
      </c>
      <c r="G15" s="118">
        <v>75</v>
      </c>
      <c r="H15" s="118">
        <v>75</v>
      </c>
      <c r="I15" s="118">
        <v>75</v>
      </c>
      <c r="J15" s="118">
        <v>75</v>
      </c>
      <c r="K15" s="118">
        <v>75</v>
      </c>
      <c r="L15" s="118">
        <v>75</v>
      </c>
      <c r="M15" s="118">
        <v>75</v>
      </c>
      <c r="N15" s="118">
        <v>75</v>
      </c>
      <c r="O15" s="118">
        <v>75</v>
      </c>
      <c r="P15" s="118">
        <v>75</v>
      </c>
      <c r="Q15" s="118">
        <v>75</v>
      </c>
      <c r="R15" s="118">
        <f t="shared" si="0"/>
        <v>900</v>
      </c>
    </row>
    <row r="16" spans="1:21" x14ac:dyDescent="0.2">
      <c r="B16" s="111" t="s">
        <v>51</v>
      </c>
      <c r="F16" s="118">
        <v>250</v>
      </c>
      <c r="G16" s="118">
        <v>250</v>
      </c>
      <c r="H16" s="118">
        <v>250</v>
      </c>
      <c r="I16" s="118">
        <v>250</v>
      </c>
      <c r="J16" s="118">
        <v>250</v>
      </c>
      <c r="K16" s="118">
        <v>250</v>
      </c>
      <c r="L16" s="118">
        <v>250</v>
      </c>
      <c r="M16" s="118">
        <v>250</v>
      </c>
      <c r="N16" s="118">
        <v>250</v>
      </c>
      <c r="O16" s="118">
        <v>250</v>
      </c>
      <c r="P16" s="118">
        <v>250</v>
      </c>
      <c r="Q16" s="118">
        <v>250</v>
      </c>
      <c r="R16" s="116">
        <f t="shared" si="0"/>
        <v>3000</v>
      </c>
    </row>
    <row r="17" spans="1:21" x14ac:dyDescent="0.2">
      <c r="B17" s="111" t="s">
        <v>52</v>
      </c>
      <c r="F17" s="118">
        <v>64</v>
      </c>
      <c r="G17" s="118">
        <v>64</v>
      </c>
      <c r="H17" s="118">
        <v>64</v>
      </c>
      <c r="I17" s="118">
        <v>64</v>
      </c>
      <c r="J17" s="118">
        <v>64</v>
      </c>
      <c r="K17" s="118">
        <v>64</v>
      </c>
      <c r="L17" s="118">
        <v>64</v>
      </c>
      <c r="M17" s="118">
        <v>64</v>
      </c>
      <c r="N17" s="118">
        <v>64</v>
      </c>
      <c r="O17" s="118">
        <v>64</v>
      </c>
      <c r="P17" s="118">
        <v>64</v>
      </c>
      <c r="Q17" s="118">
        <v>64</v>
      </c>
      <c r="R17" s="116">
        <f t="shared" si="0"/>
        <v>768</v>
      </c>
    </row>
    <row r="18" spans="1:21" x14ac:dyDescent="0.2">
      <c r="B18" s="112" t="s">
        <v>53</v>
      </c>
      <c r="F18" s="121">
        <v>300</v>
      </c>
      <c r="G18" s="122">
        <v>300</v>
      </c>
      <c r="H18" s="122">
        <v>250</v>
      </c>
      <c r="I18" s="122">
        <v>100</v>
      </c>
      <c r="J18" s="122"/>
      <c r="K18" s="122"/>
      <c r="L18" s="122"/>
      <c r="M18" s="122"/>
      <c r="N18" s="122"/>
      <c r="O18" s="122">
        <v>100</v>
      </c>
      <c r="P18" s="122">
        <v>250</v>
      </c>
      <c r="Q18" s="122">
        <v>300</v>
      </c>
      <c r="R18" s="123">
        <f t="shared" si="0"/>
        <v>1600</v>
      </c>
    </row>
    <row r="19" spans="1:21" s="3" customFormat="1" x14ac:dyDescent="0.2">
      <c r="A19" s="104"/>
      <c r="B19" s="54" t="s">
        <v>8</v>
      </c>
      <c r="C19" s="27"/>
      <c r="D19" s="104"/>
      <c r="E19" s="27"/>
      <c r="F19" s="124">
        <f t="shared" ref="F19:Q19" si="1">SUM(F8:F18)</f>
        <v>4714</v>
      </c>
      <c r="G19" s="124">
        <f t="shared" si="1"/>
        <v>3964</v>
      </c>
      <c r="H19" s="124">
        <f t="shared" si="1"/>
        <v>3739</v>
      </c>
      <c r="I19" s="124">
        <f t="shared" si="1"/>
        <v>3489</v>
      </c>
      <c r="J19" s="124">
        <f t="shared" si="1"/>
        <v>3214</v>
      </c>
      <c r="K19" s="124">
        <f t="shared" si="1"/>
        <v>3264</v>
      </c>
      <c r="L19" s="124">
        <f t="shared" si="1"/>
        <v>4064</v>
      </c>
      <c r="M19" s="124">
        <f t="shared" si="1"/>
        <v>3364</v>
      </c>
      <c r="N19" s="124">
        <f t="shared" si="1"/>
        <v>3464</v>
      </c>
      <c r="O19" s="124">
        <f t="shared" si="1"/>
        <v>3314</v>
      </c>
      <c r="P19" s="124">
        <f t="shared" si="1"/>
        <v>3639</v>
      </c>
      <c r="Q19" s="124">
        <f t="shared" si="1"/>
        <v>3764</v>
      </c>
      <c r="R19" s="124">
        <f>SUM(R8:R18)</f>
        <v>43993</v>
      </c>
      <c r="S19" s="104"/>
      <c r="T19" s="104"/>
      <c r="U19" s="104"/>
    </row>
    <row r="20" spans="1:21" x14ac:dyDescent="0.2">
      <c r="B20" s="59" t="s">
        <v>27</v>
      </c>
      <c r="C20" s="128"/>
      <c r="D20" s="129">
        <v>1800</v>
      </c>
      <c r="E20" s="130">
        <f>D20/D25</f>
        <v>0.65454545454545454</v>
      </c>
      <c r="F20" s="131">
        <f>F19*$E$20</f>
        <v>3085.5272727272727</v>
      </c>
      <c r="G20" s="131">
        <f t="shared" ref="G20:Q20" si="2">G19*$E$20</f>
        <v>2594.6181818181817</v>
      </c>
      <c r="H20" s="131">
        <f t="shared" si="2"/>
        <v>2447.3454545454547</v>
      </c>
      <c r="I20" s="131">
        <f t="shared" si="2"/>
        <v>2283.7090909090907</v>
      </c>
      <c r="J20" s="131">
        <f t="shared" si="2"/>
        <v>2103.7090909090907</v>
      </c>
      <c r="K20" s="131">
        <f t="shared" si="2"/>
        <v>2136.4363636363637</v>
      </c>
      <c r="L20" s="131">
        <f t="shared" si="2"/>
        <v>2660.0727272727272</v>
      </c>
      <c r="M20" s="131">
        <f t="shared" si="2"/>
        <v>2201.8909090909092</v>
      </c>
      <c r="N20" s="131">
        <f t="shared" si="2"/>
        <v>2267.3454545454547</v>
      </c>
      <c r="O20" s="131">
        <f t="shared" si="2"/>
        <v>2169.1636363636362</v>
      </c>
      <c r="P20" s="131">
        <f t="shared" si="2"/>
        <v>2381.8909090909092</v>
      </c>
      <c r="Q20" s="131">
        <f t="shared" si="2"/>
        <v>2463.7090909090907</v>
      </c>
      <c r="R20" s="132">
        <f>SUM(F20:Q20)</f>
        <v>28795.418181818182</v>
      </c>
    </row>
    <row r="21" spans="1:21" x14ac:dyDescent="0.2">
      <c r="B21" s="64" t="s">
        <v>28</v>
      </c>
      <c r="C21" s="133"/>
      <c r="D21" s="134">
        <v>600</v>
      </c>
      <c r="E21" s="135">
        <f>D21/D25</f>
        <v>0.21818181818181817</v>
      </c>
      <c r="F21" s="136">
        <f>F19*$E$21</f>
        <v>1028.5090909090909</v>
      </c>
      <c r="G21" s="136">
        <f t="shared" ref="G21:Q21" si="3">G19*$E$21</f>
        <v>864.87272727272727</v>
      </c>
      <c r="H21" s="136">
        <f t="shared" si="3"/>
        <v>815.78181818181815</v>
      </c>
      <c r="I21" s="136">
        <f t="shared" si="3"/>
        <v>761.23636363636365</v>
      </c>
      <c r="J21" s="136">
        <f t="shared" si="3"/>
        <v>701.23636363636365</v>
      </c>
      <c r="K21" s="136">
        <f t="shared" si="3"/>
        <v>712.14545454545453</v>
      </c>
      <c r="L21" s="136">
        <f t="shared" si="3"/>
        <v>886.69090909090903</v>
      </c>
      <c r="M21" s="136">
        <f t="shared" si="3"/>
        <v>733.96363636363628</v>
      </c>
      <c r="N21" s="136">
        <f t="shared" si="3"/>
        <v>755.78181818181815</v>
      </c>
      <c r="O21" s="136">
        <f t="shared" si="3"/>
        <v>723.0545454545454</v>
      </c>
      <c r="P21" s="136">
        <f t="shared" si="3"/>
        <v>793.96363636363628</v>
      </c>
      <c r="Q21" s="136">
        <f t="shared" si="3"/>
        <v>821.23636363636365</v>
      </c>
      <c r="R21" s="137">
        <f t="shared" ref="R21:R25" si="4">SUM(F21:Q21)</f>
        <v>9598.4727272727268</v>
      </c>
    </row>
    <row r="22" spans="1:21" x14ac:dyDescent="0.2">
      <c r="B22" s="114" t="s">
        <v>55</v>
      </c>
      <c r="C22" s="138"/>
      <c r="D22" s="139">
        <v>250</v>
      </c>
      <c r="E22" s="140">
        <f>D22/D25</f>
        <v>9.0909090909090912E-2</v>
      </c>
      <c r="F22" s="141">
        <f>F19*$E$22</f>
        <v>428.54545454545456</v>
      </c>
      <c r="G22" s="141">
        <f t="shared" ref="G22:Q22" si="5">G19*$E$22</f>
        <v>360.36363636363637</v>
      </c>
      <c r="H22" s="141">
        <f t="shared" si="5"/>
        <v>339.90909090909093</v>
      </c>
      <c r="I22" s="141">
        <f t="shared" si="5"/>
        <v>317.18181818181819</v>
      </c>
      <c r="J22" s="141">
        <f t="shared" si="5"/>
        <v>292.18181818181819</v>
      </c>
      <c r="K22" s="141">
        <f t="shared" si="5"/>
        <v>296.72727272727275</v>
      </c>
      <c r="L22" s="141">
        <f t="shared" si="5"/>
        <v>369.45454545454544</v>
      </c>
      <c r="M22" s="141">
        <f t="shared" si="5"/>
        <v>305.81818181818181</v>
      </c>
      <c r="N22" s="141">
        <f t="shared" si="5"/>
        <v>314.90909090909093</v>
      </c>
      <c r="O22" s="141">
        <f t="shared" si="5"/>
        <v>301.27272727272731</v>
      </c>
      <c r="P22" s="141">
        <f t="shared" si="5"/>
        <v>330.81818181818181</v>
      </c>
      <c r="Q22" s="141">
        <f t="shared" si="5"/>
        <v>342.18181818181819</v>
      </c>
      <c r="R22" s="142">
        <f t="shared" si="4"/>
        <v>3999.3636363636369</v>
      </c>
    </row>
    <row r="23" spans="1:21" x14ac:dyDescent="0.2">
      <c r="B23" s="271" t="s">
        <v>158</v>
      </c>
      <c r="C23" s="279"/>
      <c r="D23" s="284">
        <v>50</v>
      </c>
      <c r="E23" s="281">
        <f>D23/D25</f>
        <v>1.8181818181818181E-2</v>
      </c>
      <c r="F23" s="282">
        <f>F19*$E$23</f>
        <v>85.709090909090904</v>
      </c>
      <c r="G23" s="282">
        <f t="shared" ref="G23:Q23" si="6">G19*$E$23</f>
        <v>72.072727272727263</v>
      </c>
      <c r="H23" s="282">
        <f t="shared" si="6"/>
        <v>67.981818181818184</v>
      </c>
      <c r="I23" s="282">
        <f t="shared" si="6"/>
        <v>63.43636363636363</v>
      </c>
      <c r="J23" s="282">
        <f t="shared" si="6"/>
        <v>58.43636363636363</v>
      </c>
      <c r="K23" s="282">
        <f t="shared" si="6"/>
        <v>59.345454545454544</v>
      </c>
      <c r="L23" s="282">
        <f t="shared" si="6"/>
        <v>73.890909090909091</v>
      </c>
      <c r="M23" s="282">
        <f t="shared" si="6"/>
        <v>61.163636363636364</v>
      </c>
      <c r="N23" s="282">
        <f t="shared" si="6"/>
        <v>62.981818181818177</v>
      </c>
      <c r="O23" s="282">
        <f t="shared" si="6"/>
        <v>60.25454545454545</v>
      </c>
      <c r="P23" s="282">
        <f t="shared" si="6"/>
        <v>66.163636363636357</v>
      </c>
      <c r="Q23" s="282">
        <f t="shared" si="6"/>
        <v>68.436363636363637</v>
      </c>
      <c r="R23" s="283">
        <f t="shared" si="4"/>
        <v>799.87272727272716</v>
      </c>
    </row>
    <row r="24" spans="1:21" x14ac:dyDescent="0.2">
      <c r="B24" s="68" t="s">
        <v>29</v>
      </c>
      <c r="C24" s="143"/>
      <c r="D24" s="144">
        <v>50</v>
      </c>
      <c r="E24" s="145">
        <f>D24/D25</f>
        <v>1.8181818181818181E-2</v>
      </c>
      <c r="F24" s="146">
        <f t="shared" ref="F24:Q24" si="7">F19*$E$24</f>
        <v>85.709090909090904</v>
      </c>
      <c r="G24" s="146">
        <f t="shared" si="7"/>
        <v>72.072727272727263</v>
      </c>
      <c r="H24" s="146">
        <f t="shared" si="7"/>
        <v>67.981818181818184</v>
      </c>
      <c r="I24" s="146">
        <f t="shared" si="7"/>
        <v>63.43636363636363</v>
      </c>
      <c r="J24" s="146">
        <f t="shared" si="7"/>
        <v>58.43636363636363</v>
      </c>
      <c r="K24" s="146">
        <f t="shared" si="7"/>
        <v>59.345454545454544</v>
      </c>
      <c r="L24" s="146">
        <f t="shared" si="7"/>
        <v>73.890909090909091</v>
      </c>
      <c r="M24" s="146">
        <f t="shared" si="7"/>
        <v>61.163636363636364</v>
      </c>
      <c r="N24" s="146">
        <f t="shared" si="7"/>
        <v>62.981818181818177</v>
      </c>
      <c r="O24" s="146">
        <f t="shared" si="7"/>
        <v>60.25454545454545</v>
      </c>
      <c r="P24" s="146">
        <f t="shared" si="7"/>
        <v>66.163636363636357</v>
      </c>
      <c r="Q24" s="146">
        <f t="shared" si="7"/>
        <v>68.436363636363637</v>
      </c>
      <c r="R24" s="147">
        <f t="shared" si="4"/>
        <v>799.87272727272716</v>
      </c>
    </row>
    <row r="25" spans="1:21" x14ac:dyDescent="0.2">
      <c r="B25" s="125" t="s">
        <v>8</v>
      </c>
      <c r="C25" s="27"/>
      <c r="D25" s="109">
        <f>SUM(D20:D24)</f>
        <v>2750</v>
      </c>
      <c r="E25" s="126">
        <f>SUM(E20:E24)</f>
        <v>1</v>
      </c>
      <c r="F25" s="118">
        <f>SUM(F20:F24)</f>
        <v>4714.0000000000009</v>
      </c>
      <c r="G25" s="118">
        <f t="shared" ref="G25:Q25" si="8">SUM(G20:G24)</f>
        <v>3964</v>
      </c>
      <c r="H25" s="118">
        <f t="shared" si="8"/>
        <v>3739</v>
      </c>
      <c r="I25" s="118">
        <f t="shared" si="8"/>
        <v>3489</v>
      </c>
      <c r="J25" s="118">
        <f t="shared" si="8"/>
        <v>3214</v>
      </c>
      <c r="K25" s="118">
        <f t="shared" si="8"/>
        <v>3264</v>
      </c>
      <c r="L25" s="118">
        <f t="shared" si="8"/>
        <v>4064</v>
      </c>
      <c r="M25" s="118">
        <f t="shared" si="8"/>
        <v>3364</v>
      </c>
      <c r="N25" s="118">
        <f t="shared" si="8"/>
        <v>3464</v>
      </c>
      <c r="O25" s="118">
        <f t="shared" si="8"/>
        <v>3314</v>
      </c>
      <c r="P25" s="118">
        <f t="shared" si="8"/>
        <v>3639</v>
      </c>
      <c r="Q25" s="118">
        <f t="shared" si="8"/>
        <v>3764</v>
      </c>
      <c r="R25" s="127">
        <f t="shared" si="4"/>
        <v>43993</v>
      </c>
    </row>
    <row r="26" spans="1:21" x14ac:dyDescent="0.2">
      <c r="A26" s="1"/>
      <c r="B26" s="118"/>
      <c r="C26" s="119"/>
      <c r="D26" s="119"/>
      <c r="E26" s="119"/>
      <c r="F26" s="119"/>
      <c r="N26" s="109"/>
      <c r="O26" s="109"/>
      <c r="P26" s="109"/>
      <c r="Q26" s="109"/>
      <c r="R26"/>
      <c r="S26"/>
    </row>
    <row r="27" spans="1:21" x14ac:dyDescent="0.2">
      <c r="A27" s="1"/>
      <c r="B27" s="118"/>
      <c r="C27" s="119"/>
      <c r="D27" s="119"/>
      <c r="E27" s="119"/>
      <c r="F27" s="119"/>
      <c r="N27" s="109"/>
      <c r="O27" s="109"/>
      <c r="P27" s="109"/>
      <c r="Q27" s="109"/>
      <c r="R27"/>
      <c r="S27"/>
    </row>
    <row r="28" spans="1:21" x14ac:dyDescent="0.2">
      <c r="A28" s="1"/>
      <c r="B28" s="118"/>
      <c r="C28" s="119"/>
      <c r="D28" s="119"/>
      <c r="E28" s="119"/>
      <c r="F28" s="119"/>
      <c r="N28" s="109"/>
      <c r="O28" s="109"/>
      <c r="P28" s="109"/>
      <c r="Q28" s="109"/>
      <c r="R28"/>
      <c r="S28"/>
    </row>
    <row r="29" spans="1:21" x14ac:dyDescent="0.2">
      <c r="A29" s="1"/>
      <c r="B29" s="118"/>
      <c r="C29" s="119"/>
      <c r="D29" s="119"/>
      <c r="E29" s="119"/>
      <c r="F29" s="119"/>
      <c r="N29" s="109"/>
      <c r="O29" s="109"/>
      <c r="P29" s="109"/>
      <c r="Q29" s="109"/>
      <c r="R29"/>
      <c r="S29"/>
    </row>
    <row r="30" spans="1:21" x14ac:dyDescent="0.2">
      <c r="A30" s="1"/>
      <c r="B30" s="118"/>
      <c r="C30" s="119"/>
      <c r="D30" s="119"/>
      <c r="E30" s="119"/>
      <c r="F30" s="119"/>
      <c r="N30" s="109"/>
      <c r="O30" s="109"/>
      <c r="P30" s="109"/>
      <c r="Q30" s="109"/>
      <c r="R30"/>
      <c r="S30"/>
    </row>
    <row r="31" spans="1:21" x14ac:dyDescent="0.2">
      <c r="A31" s="1"/>
      <c r="B31" s="118"/>
      <c r="C31" s="119"/>
      <c r="D31" s="119"/>
      <c r="E31" s="119"/>
      <c r="F31" s="119"/>
      <c r="N31" s="109"/>
      <c r="O31" s="109"/>
      <c r="P31" s="109"/>
      <c r="Q31" s="109"/>
      <c r="R31"/>
      <c r="S31"/>
    </row>
    <row r="32" spans="1:21" x14ac:dyDescent="0.2">
      <c r="A32" s="1"/>
      <c r="B32" s="118"/>
      <c r="C32" s="119"/>
      <c r="D32" s="119"/>
      <c r="E32" s="119"/>
      <c r="F32" s="119"/>
      <c r="N32" s="109"/>
      <c r="O32" s="109"/>
      <c r="P32" s="109"/>
      <c r="Q32" s="109"/>
      <c r="R32"/>
      <c r="S32"/>
    </row>
    <row r="33" spans="1:21" x14ac:dyDescent="0.2">
      <c r="A33" s="1"/>
      <c r="B33" s="118"/>
      <c r="C33" s="119"/>
      <c r="D33" s="119"/>
      <c r="E33" s="119"/>
      <c r="F33" s="119"/>
      <c r="N33" s="109"/>
      <c r="O33" s="109"/>
      <c r="P33" s="109"/>
      <c r="Q33" s="109"/>
      <c r="R33"/>
      <c r="S33"/>
    </row>
    <row r="34" spans="1:21" x14ac:dyDescent="0.2">
      <c r="A34" s="1"/>
      <c r="B34" s="118"/>
      <c r="C34" s="119"/>
      <c r="D34" s="119"/>
      <c r="E34" s="119"/>
      <c r="F34" s="119"/>
      <c r="N34" s="109"/>
      <c r="O34" s="109"/>
      <c r="P34" s="109"/>
      <c r="Q34" s="109"/>
      <c r="R34"/>
      <c r="S34"/>
    </row>
    <row r="35" spans="1:21" x14ac:dyDescent="0.2">
      <c r="A35" s="1"/>
      <c r="B35" s="118"/>
      <c r="C35" s="119"/>
      <c r="D35" s="119"/>
      <c r="E35" s="119"/>
      <c r="F35" s="119"/>
      <c r="N35" s="109"/>
      <c r="O35" s="109"/>
      <c r="P35" s="109"/>
      <c r="Q35" s="109"/>
      <c r="R35"/>
      <c r="S35"/>
    </row>
    <row r="36" spans="1:21" x14ac:dyDescent="0.2">
      <c r="A36" s="1"/>
      <c r="B36" s="118"/>
      <c r="C36" s="119"/>
      <c r="D36" s="119"/>
      <c r="E36" s="119"/>
      <c r="F36" s="119"/>
      <c r="N36" s="109"/>
      <c r="O36" s="109"/>
      <c r="P36" s="109"/>
      <c r="Q36" s="109"/>
      <c r="R36"/>
      <c r="S36"/>
    </row>
    <row r="37" spans="1:21" x14ac:dyDescent="0.2">
      <c r="A37" s="1"/>
      <c r="B37" s="118"/>
      <c r="C37" s="119"/>
      <c r="D37" s="119"/>
      <c r="E37" s="119"/>
      <c r="F37" s="119"/>
      <c r="N37" s="109"/>
      <c r="O37" s="109"/>
      <c r="P37" s="109"/>
      <c r="Q37" s="109"/>
      <c r="R37"/>
      <c r="S37"/>
    </row>
    <row r="45" spans="1:21" x14ac:dyDescent="0.2">
      <c r="T45"/>
      <c r="U45"/>
    </row>
    <row r="46" spans="1:21" x14ac:dyDescent="0.2">
      <c r="T46"/>
      <c r="U46"/>
    </row>
    <row r="47" spans="1:21" x14ac:dyDescent="0.2">
      <c r="T47"/>
      <c r="U47"/>
    </row>
    <row r="48" spans="1:21" x14ac:dyDescent="0.2">
      <c r="T48"/>
      <c r="U48"/>
    </row>
    <row r="49" spans="20:21" x14ac:dyDescent="0.2">
      <c r="T49"/>
      <c r="U49"/>
    </row>
    <row r="50" spans="20:21" x14ac:dyDescent="0.2">
      <c r="T50"/>
      <c r="U50"/>
    </row>
    <row r="51" spans="20:21" x14ac:dyDescent="0.2">
      <c r="T51"/>
      <c r="U51"/>
    </row>
    <row r="52" spans="20:21" x14ac:dyDescent="0.2">
      <c r="T52"/>
      <c r="U52"/>
    </row>
    <row r="53" spans="20:21" x14ac:dyDescent="0.2">
      <c r="T53"/>
      <c r="U53"/>
    </row>
    <row r="54" spans="20:21" x14ac:dyDescent="0.2">
      <c r="T54"/>
      <c r="U54"/>
    </row>
    <row r="55" spans="20:21" x14ac:dyDescent="0.2">
      <c r="T55"/>
      <c r="U55"/>
    </row>
    <row r="56" spans="20:21" x14ac:dyDescent="0.2">
      <c r="T56"/>
      <c r="U56"/>
    </row>
    <row r="57" spans="20:21" x14ac:dyDescent="0.2">
      <c r="T57"/>
      <c r="U57"/>
    </row>
  </sheetData>
  <mergeCells count="1">
    <mergeCell ref="F4:Q4"/>
  </mergeCells>
  <phoneticPr fontId="3" type="noConversion"/>
  <pageMargins left="0.25" right="0.25" top="0.5" bottom="0.5" header="0.2" footer="0.2"/>
  <headerFooter alignWithMargins="0">
    <oddFooter>&amp;L&amp;"Arial,Bold"&amp;8&amp;D&amp;R&amp;"Arial,Bold"&amp;8Page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3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3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D49" sqref="D49"/>
    </sheetView>
  </sheetViews>
  <sheetFormatPr defaultRowHeight="12.75" outlineLevelCol="1" x14ac:dyDescent="0.2"/>
  <cols>
    <col min="5" max="16" width="9.140625" customWidth="1" outlineLevel="1"/>
  </cols>
  <sheetData>
    <row r="1" spans="1:20" s="16" customFormat="1" x14ac:dyDescent="0.2">
      <c r="A1" s="104" t="str">
        <f>+'Summary budget'!A1</f>
        <v>The most bestest nonprofit</v>
      </c>
      <c r="B1" s="51"/>
      <c r="C1" s="105"/>
      <c r="D1" s="51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06"/>
      <c r="R1" s="107"/>
      <c r="S1" s="107"/>
      <c r="T1" s="107"/>
    </row>
    <row r="2" spans="1:20" s="16" customFormat="1" x14ac:dyDescent="0.2">
      <c r="A2" s="104" t="str">
        <f>+'Summary budget'!A2</f>
        <v>2014 Budget</v>
      </c>
      <c r="B2" s="51"/>
      <c r="C2" s="105"/>
      <c r="D2" s="5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06"/>
      <c r="R2" s="107"/>
      <c r="S2" s="107"/>
      <c r="T2" s="107"/>
    </row>
    <row r="3" spans="1:20" s="16" customFormat="1" x14ac:dyDescent="0.2">
      <c r="A3" s="104" t="s">
        <v>59</v>
      </c>
      <c r="B3" s="51"/>
      <c r="C3" s="105"/>
      <c r="D3" s="51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06"/>
      <c r="R3" s="107"/>
      <c r="S3" s="107"/>
      <c r="T3" s="107"/>
    </row>
    <row r="4" spans="1:20" s="16" customFormat="1" x14ac:dyDescent="0.2">
      <c r="A4" s="105"/>
      <c r="B4" s="51"/>
      <c r="C4" s="105"/>
      <c r="D4" s="51"/>
      <c r="E4" s="286" t="str">
        <f>'Summary budget'!A2</f>
        <v>2014 Budget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20"/>
      <c r="R4" s="107"/>
      <c r="S4" s="107"/>
      <c r="T4" s="107"/>
    </row>
    <row r="5" spans="1:20" s="9" customFormat="1" x14ac:dyDescent="0.2">
      <c r="A5" s="105"/>
      <c r="B5" s="51"/>
      <c r="C5" s="105"/>
      <c r="D5" s="111"/>
      <c r="E5" s="115" t="s">
        <v>14</v>
      </c>
      <c r="F5" s="115" t="s">
        <v>0</v>
      </c>
      <c r="G5" s="115" t="s">
        <v>1</v>
      </c>
      <c r="H5" s="115" t="s">
        <v>2</v>
      </c>
      <c r="I5" s="115" t="s">
        <v>3</v>
      </c>
      <c r="J5" s="115" t="s">
        <v>22</v>
      </c>
      <c r="K5" s="115" t="s">
        <v>23</v>
      </c>
      <c r="L5" s="115" t="s">
        <v>4</v>
      </c>
      <c r="M5" s="115" t="s">
        <v>24</v>
      </c>
      <c r="N5" s="115" t="s">
        <v>5</v>
      </c>
      <c r="O5" s="115" t="s">
        <v>6</v>
      </c>
      <c r="P5" s="115" t="s">
        <v>7</v>
      </c>
      <c r="Q5" s="46" t="s">
        <v>8</v>
      </c>
      <c r="R5" s="108"/>
      <c r="S5" s="108"/>
      <c r="T5" s="108"/>
    </row>
    <row r="7" spans="1:20" x14ac:dyDescent="0.2">
      <c r="A7" t="s">
        <v>60</v>
      </c>
      <c r="E7" s="148">
        <v>300</v>
      </c>
      <c r="F7" s="148">
        <v>300</v>
      </c>
      <c r="G7" s="148">
        <v>300</v>
      </c>
      <c r="H7" s="148">
        <v>300</v>
      </c>
      <c r="I7" s="148">
        <v>300</v>
      </c>
      <c r="J7" s="148">
        <v>300</v>
      </c>
      <c r="K7" s="148">
        <v>300</v>
      </c>
      <c r="L7" s="148">
        <v>300</v>
      </c>
      <c r="M7" s="148">
        <v>300</v>
      </c>
      <c r="N7" s="148">
        <v>300</v>
      </c>
      <c r="O7" s="148">
        <v>300</v>
      </c>
      <c r="P7" s="148">
        <v>300</v>
      </c>
      <c r="Q7" s="148">
        <f>SUM(E7:P7)</f>
        <v>3600</v>
      </c>
    </row>
    <row r="8" spans="1:20" x14ac:dyDescent="0.2">
      <c r="A8" s="95" t="s">
        <v>118</v>
      </c>
      <c r="E8" s="148"/>
      <c r="F8" s="148"/>
      <c r="G8" s="148">
        <v>400</v>
      </c>
      <c r="H8" s="148"/>
      <c r="I8" s="148"/>
      <c r="J8" s="148"/>
      <c r="K8" s="148"/>
      <c r="L8" s="148"/>
      <c r="M8" s="148"/>
      <c r="N8" s="148"/>
      <c r="O8" s="148"/>
      <c r="P8" s="148"/>
      <c r="Q8" s="148">
        <f>SUM(G8:P8)</f>
        <v>400</v>
      </c>
    </row>
    <row r="9" spans="1:20" x14ac:dyDescent="0.2">
      <c r="A9" s="95" t="s">
        <v>117</v>
      </c>
      <c r="E9" s="148">
        <v>25</v>
      </c>
      <c r="F9" s="148">
        <v>25</v>
      </c>
      <c r="G9" s="148">
        <v>25</v>
      </c>
      <c r="H9" s="148">
        <v>25</v>
      </c>
      <c r="I9" s="148">
        <v>25</v>
      </c>
      <c r="J9" s="148">
        <v>25</v>
      </c>
      <c r="K9" s="148">
        <v>25</v>
      </c>
      <c r="L9" s="148">
        <v>25</v>
      </c>
      <c r="M9" s="148">
        <v>25</v>
      </c>
      <c r="N9" s="148">
        <v>25</v>
      </c>
      <c r="O9" s="148">
        <v>25</v>
      </c>
      <c r="P9" s="148">
        <v>25</v>
      </c>
      <c r="Q9" s="148">
        <f t="shared" ref="Q9:Q14" si="0">SUM(E9:P9)</f>
        <v>300</v>
      </c>
    </row>
    <row r="10" spans="1:20" x14ac:dyDescent="0.2">
      <c r="A10" t="s">
        <v>61</v>
      </c>
      <c r="E10" s="148">
        <v>400</v>
      </c>
      <c r="F10" s="148">
        <v>400</v>
      </c>
      <c r="G10" s="148">
        <v>400</v>
      </c>
      <c r="H10" s="148">
        <v>400</v>
      </c>
      <c r="I10" s="148">
        <v>400</v>
      </c>
      <c r="J10" s="148">
        <v>400</v>
      </c>
      <c r="K10" s="148">
        <v>400</v>
      </c>
      <c r="L10" s="148">
        <v>400</v>
      </c>
      <c r="M10" s="148">
        <v>400</v>
      </c>
      <c r="N10" s="148">
        <v>400</v>
      </c>
      <c r="O10" s="148">
        <v>400</v>
      </c>
      <c r="P10" s="148">
        <v>400</v>
      </c>
      <c r="Q10" s="148">
        <f t="shared" si="0"/>
        <v>4800</v>
      </c>
    </row>
    <row r="11" spans="1:20" x14ac:dyDescent="0.2">
      <c r="A11" t="s">
        <v>120</v>
      </c>
      <c r="E11" s="148">
        <v>75</v>
      </c>
      <c r="F11" s="148">
        <v>75</v>
      </c>
      <c r="G11" s="148">
        <v>75</v>
      </c>
      <c r="H11" s="148">
        <v>75</v>
      </c>
      <c r="I11" s="148">
        <v>75</v>
      </c>
      <c r="J11" s="148">
        <v>75</v>
      </c>
      <c r="K11" s="148">
        <v>75</v>
      </c>
      <c r="L11" s="148">
        <v>75</v>
      </c>
      <c r="M11" s="148">
        <v>75</v>
      </c>
      <c r="N11" s="148">
        <v>75</v>
      </c>
      <c r="O11" s="148">
        <v>75</v>
      </c>
      <c r="P11" s="148">
        <v>75</v>
      </c>
      <c r="Q11" s="148">
        <f t="shared" si="0"/>
        <v>900</v>
      </c>
    </row>
    <row r="12" spans="1:20" x14ac:dyDescent="0.2">
      <c r="A12" t="s">
        <v>62</v>
      </c>
      <c r="E12" s="148">
        <v>120</v>
      </c>
      <c r="F12" s="148">
        <v>120</v>
      </c>
      <c r="G12" s="148">
        <v>120</v>
      </c>
      <c r="H12" s="148">
        <v>120</v>
      </c>
      <c r="I12" s="148">
        <v>120</v>
      </c>
      <c r="J12" s="148">
        <v>120</v>
      </c>
      <c r="K12" s="148">
        <v>120</v>
      </c>
      <c r="L12" s="148">
        <v>120</v>
      </c>
      <c r="M12" s="148">
        <v>120</v>
      </c>
      <c r="N12" s="148">
        <v>120</v>
      </c>
      <c r="O12" s="148">
        <v>120</v>
      </c>
      <c r="P12" s="148">
        <v>120</v>
      </c>
      <c r="Q12" s="148">
        <f t="shared" si="0"/>
        <v>1440</v>
      </c>
    </row>
    <row r="13" spans="1:20" s="263" customFormat="1" x14ac:dyDescent="0.2">
      <c r="A13" s="262" t="s">
        <v>71</v>
      </c>
      <c r="E13" s="264">
        <v>50</v>
      </c>
      <c r="F13" s="264">
        <v>50</v>
      </c>
      <c r="G13" s="264">
        <v>50</v>
      </c>
      <c r="H13" s="264">
        <v>50</v>
      </c>
      <c r="I13" s="264">
        <v>50</v>
      </c>
      <c r="J13" s="264">
        <v>50</v>
      </c>
      <c r="K13" s="264">
        <v>50</v>
      </c>
      <c r="L13" s="264">
        <v>50</v>
      </c>
      <c r="M13" s="264">
        <v>50</v>
      </c>
      <c r="N13" s="264">
        <v>50</v>
      </c>
      <c r="O13" s="264">
        <v>50</v>
      </c>
      <c r="P13" s="264">
        <v>50</v>
      </c>
      <c r="Q13" s="264">
        <f t="shared" si="0"/>
        <v>600</v>
      </c>
    </row>
    <row r="14" spans="1:20" s="265" customFormat="1" ht="13.5" thickBot="1" x14ac:dyDescent="0.25">
      <c r="A14" s="265" t="s">
        <v>63</v>
      </c>
      <c r="E14" s="266"/>
      <c r="F14" s="266"/>
      <c r="G14" s="266">
        <v>500</v>
      </c>
      <c r="H14" s="266"/>
      <c r="I14" s="266"/>
      <c r="J14" s="266"/>
      <c r="K14" s="266"/>
      <c r="L14" s="266">
        <v>1000</v>
      </c>
      <c r="M14" s="266"/>
      <c r="N14" s="266"/>
      <c r="O14" s="266"/>
      <c r="P14" s="266"/>
      <c r="Q14" s="266">
        <f t="shared" si="0"/>
        <v>1500</v>
      </c>
    </row>
    <row r="15" spans="1:20" x14ac:dyDescent="0.2">
      <c r="A15" s="95" t="s">
        <v>8</v>
      </c>
      <c r="E15" s="148">
        <f>SUM(E7:E14)</f>
        <v>970</v>
      </c>
      <c r="F15" s="148">
        <f t="shared" ref="F15:Q15" si="1">SUM(F7:F14)</f>
        <v>970</v>
      </c>
      <c r="G15" s="148">
        <f t="shared" si="1"/>
        <v>1870</v>
      </c>
      <c r="H15" s="148">
        <f t="shared" si="1"/>
        <v>970</v>
      </c>
      <c r="I15" s="148">
        <f t="shared" si="1"/>
        <v>970</v>
      </c>
      <c r="J15" s="148">
        <f t="shared" si="1"/>
        <v>970</v>
      </c>
      <c r="K15" s="148">
        <f t="shared" si="1"/>
        <v>970</v>
      </c>
      <c r="L15" s="148">
        <f t="shared" si="1"/>
        <v>1970</v>
      </c>
      <c r="M15" s="148">
        <f t="shared" si="1"/>
        <v>970</v>
      </c>
      <c r="N15" s="148">
        <f t="shared" si="1"/>
        <v>970</v>
      </c>
      <c r="O15" s="148">
        <f t="shared" si="1"/>
        <v>970</v>
      </c>
      <c r="P15" s="148">
        <f t="shared" si="1"/>
        <v>970</v>
      </c>
      <c r="Q15" s="148">
        <f t="shared" si="1"/>
        <v>13540</v>
      </c>
    </row>
    <row r="16" spans="1:20" x14ac:dyDescent="0.2">
      <c r="A16" s="95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</row>
    <row r="17" spans="1:20" x14ac:dyDescent="0.2">
      <c r="A17" s="59" t="s">
        <v>27</v>
      </c>
      <c r="B17" s="128"/>
      <c r="C17" s="129" t="s">
        <v>64</v>
      </c>
      <c r="D17" s="130">
        <f>Personnel!F129/9</f>
        <v>0.3611111111111111</v>
      </c>
      <c r="E17" s="131">
        <f>E15*$D$17</f>
        <v>350.27777777777777</v>
      </c>
      <c r="F17" s="131">
        <f t="shared" ref="F17:P17" si="2">F15*$D$17</f>
        <v>350.27777777777777</v>
      </c>
      <c r="G17" s="131">
        <f t="shared" si="2"/>
        <v>675.27777777777771</v>
      </c>
      <c r="H17" s="131">
        <f t="shared" si="2"/>
        <v>350.27777777777777</v>
      </c>
      <c r="I17" s="131">
        <f t="shared" si="2"/>
        <v>350.27777777777777</v>
      </c>
      <c r="J17" s="131">
        <f t="shared" si="2"/>
        <v>350.27777777777777</v>
      </c>
      <c r="K17" s="131">
        <f t="shared" si="2"/>
        <v>350.27777777777777</v>
      </c>
      <c r="L17" s="131">
        <f t="shared" si="2"/>
        <v>711.38888888888891</v>
      </c>
      <c r="M17" s="131">
        <f t="shared" si="2"/>
        <v>350.27777777777777</v>
      </c>
      <c r="N17" s="131">
        <f t="shared" si="2"/>
        <v>350.27777777777777</v>
      </c>
      <c r="O17" s="131">
        <f t="shared" si="2"/>
        <v>350.27777777777777</v>
      </c>
      <c r="P17" s="131">
        <f t="shared" si="2"/>
        <v>350.27777777777777</v>
      </c>
      <c r="Q17" s="132">
        <f>SUM(E17:P17)</f>
        <v>4889.4444444444434</v>
      </c>
      <c r="R17" s="109"/>
      <c r="S17" s="109"/>
      <c r="T17" s="109"/>
    </row>
    <row r="18" spans="1:20" x14ac:dyDescent="0.2">
      <c r="A18" s="64" t="s">
        <v>28</v>
      </c>
      <c r="B18" s="133"/>
      <c r="C18" s="134" t="s">
        <v>64</v>
      </c>
      <c r="D18" s="249">
        <f>Personnel!F130/9</f>
        <v>0.3133333333333333</v>
      </c>
      <c r="E18" s="136">
        <f>$D$18*E15</f>
        <v>303.93333333333328</v>
      </c>
      <c r="F18" s="136">
        <f t="shared" ref="F18:P18" si="3">$D$18*F15</f>
        <v>303.93333333333328</v>
      </c>
      <c r="G18" s="136">
        <f t="shared" si="3"/>
        <v>585.93333333333328</v>
      </c>
      <c r="H18" s="136">
        <f t="shared" si="3"/>
        <v>303.93333333333328</v>
      </c>
      <c r="I18" s="136">
        <f t="shared" si="3"/>
        <v>303.93333333333328</v>
      </c>
      <c r="J18" s="136">
        <f t="shared" si="3"/>
        <v>303.93333333333328</v>
      </c>
      <c r="K18" s="136">
        <f t="shared" si="3"/>
        <v>303.93333333333328</v>
      </c>
      <c r="L18" s="136">
        <f t="shared" si="3"/>
        <v>617.26666666666665</v>
      </c>
      <c r="M18" s="136">
        <f t="shared" si="3"/>
        <v>303.93333333333328</v>
      </c>
      <c r="N18" s="136">
        <f t="shared" si="3"/>
        <v>303.93333333333328</v>
      </c>
      <c r="O18" s="136">
        <f t="shared" si="3"/>
        <v>303.93333333333328</v>
      </c>
      <c r="P18" s="136">
        <f t="shared" si="3"/>
        <v>303.93333333333328</v>
      </c>
      <c r="Q18" s="137">
        <f t="shared" ref="Q18:Q22" si="4">SUM(E18:P18)</f>
        <v>4242.5333333333338</v>
      </c>
      <c r="R18" s="109"/>
      <c r="S18" s="109"/>
      <c r="T18" s="109"/>
    </row>
    <row r="19" spans="1:20" x14ac:dyDescent="0.2">
      <c r="A19" s="114" t="s">
        <v>55</v>
      </c>
      <c r="B19" s="138"/>
      <c r="C19" s="139" t="s">
        <v>64</v>
      </c>
      <c r="D19" s="140">
        <f>Personnel!F131/9</f>
        <v>9.4444444444444428E-2</v>
      </c>
      <c r="E19" s="141">
        <f>E15*$D$19</f>
        <v>91.6111111111111</v>
      </c>
      <c r="F19" s="141">
        <f t="shared" ref="F19:P19" si="5">F15*$D$19</f>
        <v>91.6111111111111</v>
      </c>
      <c r="G19" s="141">
        <f t="shared" si="5"/>
        <v>176.61111111111109</v>
      </c>
      <c r="H19" s="141">
        <f t="shared" si="5"/>
        <v>91.6111111111111</v>
      </c>
      <c r="I19" s="141">
        <f t="shared" si="5"/>
        <v>91.6111111111111</v>
      </c>
      <c r="J19" s="141">
        <f t="shared" si="5"/>
        <v>91.6111111111111</v>
      </c>
      <c r="K19" s="141">
        <f t="shared" si="5"/>
        <v>91.6111111111111</v>
      </c>
      <c r="L19" s="141">
        <f t="shared" si="5"/>
        <v>186.05555555555551</v>
      </c>
      <c r="M19" s="141">
        <f t="shared" si="5"/>
        <v>91.6111111111111</v>
      </c>
      <c r="N19" s="141">
        <f t="shared" si="5"/>
        <v>91.6111111111111</v>
      </c>
      <c r="O19" s="141">
        <f t="shared" si="5"/>
        <v>91.6111111111111</v>
      </c>
      <c r="P19" s="141">
        <f t="shared" si="5"/>
        <v>91.6111111111111</v>
      </c>
      <c r="Q19" s="142">
        <f t="shared" si="4"/>
        <v>1278.7777777777776</v>
      </c>
      <c r="R19" s="109"/>
      <c r="S19" s="109"/>
      <c r="T19" s="109"/>
    </row>
    <row r="20" spans="1:20" x14ac:dyDescent="0.2">
      <c r="A20" s="271" t="s">
        <v>158</v>
      </c>
      <c r="B20" s="279"/>
      <c r="C20" s="280" t="s">
        <v>64</v>
      </c>
      <c r="D20" s="281">
        <f>Personnel!F132/9</f>
        <v>5.3333333333333337E-2</v>
      </c>
      <c r="E20" s="282">
        <f>E15*$D$20</f>
        <v>51.733333333333334</v>
      </c>
      <c r="F20" s="282">
        <f t="shared" ref="F20:P20" si="6">F15*$D$20</f>
        <v>51.733333333333334</v>
      </c>
      <c r="G20" s="282">
        <f t="shared" si="6"/>
        <v>99.733333333333334</v>
      </c>
      <c r="H20" s="282">
        <f t="shared" si="6"/>
        <v>51.733333333333334</v>
      </c>
      <c r="I20" s="282">
        <f t="shared" si="6"/>
        <v>51.733333333333334</v>
      </c>
      <c r="J20" s="282">
        <f t="shared" si="6"/>
        <v>51.733333333333334</v>
      </c>
      <c r="K20" s="282">
        <f t="shared" si="6"/>
        <v>51.733333333333334</v>
      </c>
      <c r="L20" s="282">
        <f t="shared" si="6"/>
        <v>105.06666666666668</v>
      </c>
      <c r="M20" s="282">
        <f t="shared" si="6"/>
        <v>51.733333333333334</v>
      </c>
      <c r="N20" s="282">
        <f t="shared" si="6"/>
        <v>51.733333333333334</v>
      </c>
      <c r="O20" s="282">
        <f t="shared" si="6"/>
        <v>51.733333333333334</v>
      </c>
      <c r="P20" s="282">
        <f t="shared" si="6"/>
        <v>51.733333333333334</v>
      </c>
      <c r="Q20" s="142">
        <f t="shared" si="4"/>
        <v>722.13333333333344</v>
      </c>
      <c r="R20" s="109"/>
      <c r="S20" s="109"/>
      <c r="T20" s="109"/>
    </row>
    <row r="21" spans="1:20" x14ac:dyDescent="0.2">
      <c r="A21" s="68" t="s">
        <v>29</v>
      </c>
      <c r="B21" s="143"/>
      <c r="C21" s="144" t="s">
        <v>64</v>
      </c>
      <c r="D21" s="145">
        <f>Personnel!F133/9</f>
        <v>0.17777777777777778</v>
      </c>
      <c r="E21" s="146">
        <f>E15*$D$21</f>
        <v>172.44444444444446</v>
      </c>
      <c r="F21" s="146">
        <f t="shared" ref="F21:P21" si="7">F15*$D$21</f>
        <v>172.44444444444446</v>
      </c>
      <c r="G21" s="146">
        <f t="shared" si="7"/>
        <v>332.44444444444446</v>
      </c>
      <c r="H21" s="146">
        <f t="shared" si="7"/>
        <v>172.44444444444446</v>
      </c>
      <c r="I21" s="146">
        <f t="shared" si="7"/>
        <v>172.44444444444446</v>
      </c>
      <c r="J21" s="146">
        <f t="shared" si="7"/>
        <v>172.44444444444446</v>
      </c>
      <c r="K21" s="146">
        <f t="shared" si="7"/>
        <v>172.44444444444446</v>
      </c>
      <c r="L21" s="146">
        <f t="shared" si="7"/>
        <v>350.22222222222223</v>
      </c>
      <c r="M21" s="146">
        <f t="shared" si="7"/>
        <v>172.44444444444446</v>
      </c>
      <c r="N21" s="146">
        <f t="shared" si="7"/>
        <v>172.44444444444446</v>
      </c>
      <c r="O21" s="146">
        <f t="shared" si="7"/>
        <v>172.44444444444446</v>
      </c>
      <c r="P21" s="146">
        <f t="shared" si="7"/>
        <v>172.44444444444446</v>
      </c>
      <c r="Q21" s="147">
        <f t="shared" si="4"/>
        <v>2407.1111111111109</v>
      </c>
      <c r="R21" s="109"/>
      <c r="S21" s="109"/>
      <c r="T21" s="109"/>
    </row>
    <row r="22" spans="1:20" x14ac:dyDescent="0.2">
      <c r="A22" s="125" t="s">
        <v>8</v>
      </c>
      <c r="B22" s="27"/>
      <c r="C22" s="109"/>
      <c r="D22" s="126">
        <f>SUM(D17:D21)</f>
        <v>1</v>
      </c>
      <c r="E22" s="118">
        <f>SUM(E17:E21)</f>
        <v>969.99999999999989</v>
      </c>
      <c r="F22" s="118">
        <f t="shared" ref="F22:P22" si="8">SUM(F17:F21)</f>
        <v>969.99999999999989</v>
      </c>
      <c r="G22" s="118">
        <f t="shared" si="8"/>
        <v>1870</v>
      </c>
      <c r="H22" s="118">
        <f t="shared" si="8"/>
        <v>969.99999999999989</v>
      </c>
      <c r="I22" s="118">
        <f t="shared" si="8"/>
        <v>969.99999999999989</v>
      </c>
      <c r="J22" s="118">
        <f t="shared" si="8"/>
        <v>969.99999999999989</v>
      </c>
      <c r="K22" s="118">
        <f t="shared" si="8"/>
        <v>969.99999999999989</v>
      </c>
      <c r="L22" s="118">
        <f t="shared" si="8"/>
        <v>1969.9999999999998</v>
      </c>
      <c r="M22" s="118">
        <f t="shared" si="8"/>
        <v>969.99999999999989</v>
      </c>
      <c r="N22" s="118">
        <f t="shared" si="8"/>
        <v>969.99999999999989</v>
      </c>
      <c r="O22" s="118">
        <f t="shared" si="8"/>
        <v>969.99999999999989</v>
      </c>
      <c r="P22" s="118">
        <f t="shared" si="8"/>
        <v>969.99999999999989</v>
      </c>
      <c r="Q22" s="127">
        <f t="shared" si="4"/>
        <v>13540</v>
      </c>
      <c r="R22" s="109"/>
      <c r="S22" s="109"/>
      <c r="T22" s="109"/>
    </row>
  </sheetData>
  <mergeCells count="1">
    <mergeCell ref="E4:P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32"/>
  <sheetViews>
    <sheetView workbookViewId="0">
      <selection activeCell="A39" sqref="A39"/>
    </sheetView>
  </sheetViews>
  <sheetFormatPr defaultRowHeight="12.75" outlineLevelCol="1" x14ac:dyDescent="0.2"/>
  <cols>
    <col min="5" max="16" width="9.140625" customWidth="1" outlineLevel="1"/>
  </cols>
  <sheetData>
    <row r="1" spans="1:20" s="16" customFormat="1" x14ac:dyDescent="0.2">
      <c r="A1" s="104" t="str">
        <f>+'Summary budget'!A1</f>
        <v>The most bestest nonprofit</v>
      </c>
      <c r="B1" s="51"/>
      <c r="C1" s="105"/>
      <c r="D1" s="51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06"/>
      <c r="R1" s="107"/>
      <c r="S1" s="107"/>
      <c r="T1" s="107"/>
    </row>
    <row r="2" spans="1:20" s="16" customFormat="1" x14ac:dyDescent="0.2">
      <c r="A2" s="104" t="str">
        <f>+'Summary budget'!A2</f>
        <v>2014 Budget</v>
      </c>
      <c r="B2" s="51"/>
      <c r="C2" s="105"/>
      <c r="D2" s="5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06"/>
      <c r="R2" s="107"/>
      <c r="S2" s="107"/>
      <c r="T2" s="107"/>
    </row>
    <row r="3" spans="1:20" s="180" customFormat="1" x14ac:dyDescent="0.2">
      <c r="A3" s="174" t="s">
        <v>27</v>
      </c>
      <c r="B3" s="175"/>
      <c r="C3" s="176"/>
      <c r="D3" s="175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  <c r="R3" s="179"/>
      <c r="S3" s="179"/>
      <c r="T3" s="179"/>
    </row>
    <row r="4" spans="1:20" s="16" customFormat="1" x14ac:dyDescent="0.2">
      <c r="A4" s="105"/>
      <c r="B4" s="51"/>
      <c r="C4" s="105"/>
      <c r="D4" s="51"/>
      <c r="E4" s="286" t="str">
        <f>'Summary budget'!A2</f>
        <v>2014 Budget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20"/>
      <c r="R4" s="107"/>
      <c r="S4" s="107"/>
      <c r="T4" s="107"/>
    </row>
    <row r="5" spans="1:20" s="9" customFormat="1" x14ac:dyDescent="0.2">
      <c r="A5" s="105"/>
      <c r="B5" s="51"/>
      <c r="C5" s="105"/>
      <c r="D5" s="111"/>
      <c r="E5" s="115" t="s">
        <v>14</v>
      </c>
      <c r="F5" s="115" t="s">
        <v>0</v>
      </c>
      <c r="G5" s="115" t="s">
        <v>1</v>
      </c>
      <c r="H5" s="115" t="s">
        <v>2</v>
      </c>
      <c r="I5" s="115" t="s">
        <v>3</v>
      </c>
      <c r="J5" s="115" t="s">
        <v>22</v>
      </c>
      <c r="K5" s="115" t="s">
        <v>23</v>
      </c>
      <c r="L5" s="115" t="s">
        <v>4</v>
      </c>
      <c r="M5" s="115" t="s">
        <v>24</v>
      </c>
      <c r="N5" s="115" t="s">
        <v>5</v>
      </c>
      <c r="O5" s="115" t="s">
        <v>6</v>
      </c>
      <c r="P5" s="115" t="s">
        <v>7</v>
      </c>
      <c r="Q5" s="46" t="s">
        <v>8</v>
      </c>
      <c r="R5" s="108"/>
      <c r="S5" s="108"/>
      <c r="T5" s="108"/>
    </row>
    <row r="7" spans="1:20" x14ac:dyDescent="0.2">
      <c r="A7" s="95" t="s">
        <v>72</v>
      </c>
      <c r="E7" s="148">
        <f>Personnel!G129</f>
        <v>12565.6328125</v>
      </c>
      <c r="F7" s="148">
        <f>Personnel!H129</f>
        <v>12565.6328125</v>
      </c>
      <c r="G7" s="148">
        <f>Personnel!I129</f>
        <v>12871.762500000001</v>
      </c>
      <c r="H7" s="148">
        <f>Personnel!J129</f>
        <v>12947.1175</v>
      </c>
      <c r="I7" s="148">
        <f>Personnel!K129</f>
        <v>12565.6328125</v>
      </c>
      <c r="J7" s="148">
        <f>Personnel!L129</f>
        <v>12565.6328125</v>
      </c>
      <c r="K7" s="148">
        <f>Personnel!M129</f>
        <v>12712.6328125</v>
      </c>
      <c r="L7" s="148">
        <f>Personnel!N129</f>
        <v>12712.6328125</v>
      </c>
      <c r="M7" s="148">
        <f>Personnel!O129</f>
        <v>12712.6328125</v>
      </c>
      <c r="N7" s="148">
        <f>Personnel!P129</f>
        <v>12712.6328125</v>
      </c>
      <c r="O7" s="148">
        <f>Personnel!Q129</f>
        <v>12712.6328125</v>
      </c>
      <c r="P7" s="148">
        <f>Personnel!R129</f>
        <v>12712.6328125</v>
      </c>
      <c r="Q7" s="148">
        <f>SUM(E7:P7)</f>
        <v>152357.208125</v>
      </c>
    </row>
    <row r="8" spans="1:20" x14ac:dyDescent="0.2">
      <c r="A8" s="95" t="s">
        <v>44</v>
      </c>
      <c r="E8" s="148">
        <f>Occupancy!F20</f>
        <v>3085.5272727272727</v>
      </c>
      <c r="F8" s="148">
        <f>Occupancy!G20</f>
        <v>2594.6181818181817</v>
      </c>
      <c r="G8" s="148">
        <f>Occupancy!H20</f>
        <v>2447.3454545454547</v>
      </c>
      <c r="H8" s="148">
        <f>Occupancy!I20</f>
        <v>2283.7090909090907</v>
      </c>
      <c r="I8" s="148">
        <f>Occupancy!J20</f>
        <v>2103.7090909090907</v>
      </c>
      <c r="J8" s="148">
        <f>Occupancy!K20</f>
        <v>2136.4363636363637</v>
      </c>
      <c r="K8" s="148">
        <f>Occupancy!L20</f>
        <v>2660.0727272727272</v>
      </c>
      <c r="L8" s="148">
        <f>Occupancy!M20</f>
        <v>2201.8909090909092</v>
      </c>
      <c r="M8" s="148">
        <f>Occupancy!N20</f>
        <v>2267.3454545454547</v>
      </c>
      <c r="N8" s="148">
        <f>Occupancy!O20</f>
        <v>2169.1636363636362</v>
      </c>
      <c r="O8" s="148">
        <f>Occupancy!P20</f>
        <v>2381.8909090909092</v>
      </c>
      <c r="P8" s="148">
        <f>Occupancy!Q20</f>
        <v>2463.7090909090907</v>
      </c>
      <c r="Q8" s="148">
        <f>SUM(E8:P8)</f>
        <v>28795.418181818182</v>
      </c>
    </row>
    <row r="9" spans="1:20" x14ac:dyDescent="0.2">
      <c r="A9" s="95" t="s">
        <v>59</v>
      </c>
      <c r="E9" s="148">
        <f>'Support services'!E17</f>
        <v>350.27777777777777</v>
      </c>
      <c r="F9" s="148">
        <f>'Support services'!F17</f>
        <v>350.27777777777777</v>
      </c>
      <c r="G9" s="148">
        <f>'Support services'!G17</f>
        <v>675.27777777777771</v>
      </c>
      <c r="H9" s="148">
        <f>'Support services'!H17</f>
        <v>350.27777777777777</v>
      </c>
      <c r="I9" s="148">
        <f>'Support services'!I17</f>
        <v>350.27777777777777</v>
      </c>
      <c r="J9" s="148">
        <f>'Support services'!J17</f>
        <v>350.27777777777777</v>
      </c>
      <c r="K9" s="148">
        <f>'Support services'!K17</f>
        <v>350.27777777777777</v>
      </c>
      <c r="L9" s="148">
        <f>'Support services'!L17</f>
        <v>711.38888888888891</v>
      </c>
      <c r="M9" s="148">
        <f>'Support services'!M17</f>
        <v>350.27777777777777</v>
      </c>
      <c r="N9" s="148">
        <f>'Support services'!N17</f>
        <v>350.27777777777777</v>
      </c>
      <c r="O9" s="148">
        <f>'Support services'!O17</f>
        <v>350.27777777777777</v>
      </c>
      <c r="P9" s="148">
        <f>'Support services'!P17</f>
        <v>350.27777777777777</v>
      </c>
      <c r="Q9" s="148">
        <f>SUM(E9:P9)</f>
        <v>4889.4444444444434</v>
      </c>
    </row>
    <row r="10" spans="1:20" s="295" customFormat="1" ht="12" customHeight="1" x14ac:dyDescent="0.2">
      <c r="A10" s="294" t="s">
        <v>63</v>
      </c>
      <c r="E10" s="296">
        <v>85</v>
      </c>
      <c r="F10" s="296">
        <v>85</v>
      </c>
      <c r="G10" s="296">
        <v>85</v>
      </c>
      <c r="H10" s="296">
        <v>85</v>
      </c>
      <c r="I10" s="296">
        <v>85</v>
      </c>
      <c r="J10" s="296">
        <v>85</v>
      </c>
      <c r="K10" s="296">
        <v>85</v>
      </c>
      <c r="L10" s="296">
        <v>85</v>
      </c>
      <c r="M10" s="296">
        <v>85</v>
      </c>
      <c r="N10" s="296">
        <v>85</v>
      </c>
      <c r="O10" s="296">
        <v>85</v>
      </c>
      <c r="P10" s="296">
        <v>85</v>
      </c>
      <c r="Q10" s="296">
        <f t="shared" ref="Q10:Q13" si="0">SUM(E10:P10)</f>
        <v>1020</v>
      </c>
    </row>
    <row r="11" spans="1:20" x14ac:dyDescent="0.2">
      <c r="A11" s="95" t="s">
        <v>78</v>
      </c>
      <c r="E11" s="148">
        <v>75</v>
      </c>
      <c r="F11" s="148">
        <v>100</v>
      </c>
      <c r="G11" s="148">
        <v>100</v>
      </c>
      <c r="H11" s="148">
        <v>125</v>
      </c>
      <c r="I11" s="148">
        <v>125</v>
      </c>
      <c r="J11" s="148">
        <v>150</v>
      </c>
      <c r="K11" s="148">
        <v>150</v>
      </c>
      <c r="L11" s="148">
        <v>150</v>
      </c>
      <c r="M11" s="148">
        <v>100</v>
      </c>
      <c r="N11" s="148">
        <v>100</v>
      </c>
      <c r="O11" s="148">
        <v>75</v>
      </c>
      <c r="P11" s="148">
        <v>75</v>
      </c>
      <c r="Q11" s="148">
        <f t="shared" si="0"/>
        <v>1325</v>
      </c>
    </row>
    <row r="12" spans="1:20" x14ac:dyDescent="0.2">
      <c r="A12" s="95" t="s">
        <v>75</v>
      </c>
      <c r="E12" s="148"/>
      <c r="F12" s="148"/>
      <c r="G12" s="148">
        <v>350</v>
      </c>
      <c r="H12" s="148"/>
      <c r="I12" s="148"/>
      <c r="J12" s="148">
        <v>200</v>
      </c>
      <c r="K12" s="148"/>
      <c r="L12" s="148"/>
      <c r="M12" s="148"/>
      <c r="N12" s="148"/>
      <c r="O12" s="148">
        <v>500</v>
      </c>
      <c r="P12" s="148"/>
      <c r="Q12" s="148">
        <f>SUM(E12:P12)</f>
        <v>1050</v>
      </c>
    </row>
    <row r="13" spans="1:20" s="298" customFormat="1" ht="13.5" thickBot="1" x14ac:dyDescent="0.25">
      <c r="A13" s="297" t="s">
        <v>166</v>
      </c>
      <c r="E13" s="299"/>
      <c r="F13" s="299"/>
      <c r="G13" s="299"/>
      <c r="H13" s="299"/>
      <c r="I13" s="299">
        <v>500</v>
      </c>
      <c r="J13" s="299">
        <v>1600</v>
      </c>
      <c r="K13" s="299">
        <v>1600</v>
      </c>
      <c r="L13" s="299">
        <v>1600</v>
      </c>
      <c r="M13" s="299">
        <v>400</v>
      </c>
      <c r="N13" s="299"/>
      <c r="O13" s="299"/>
      <c r="P13" s="299"/>
      <c r="Q13" s="299">
        <f t="shared" si="0"/>
        <v>5700</v>
      </c>
    </row>
    <row r="14" spans="1:20" x14ac:dyDescent="0.2">
      <c r="A14" s="95" t="s">
        <v>83</v>
      </c>
      <c r="E14" s="148">
        <f t="shared" ref="E14:Q14" si="1">SUM(E7:E13)</f>
        <v>16161.437863005051</v>
      </c>
      <c r="F14" s="148">
        <f t="shared" si="1"/>
        <v>15695.528772095959</v>
      </c>
      <c r="G14" s="148">
        <f t="shared" si="1"/>
        <v>16529.385732323233</v>
      </c>
      <c r="H14" s="148">
        <f t="shared" si="1"/>
        <v>15791.104368686869</v>
      </c>
      <c r="I14" s="148">
        <f t="shared" si="1"/>
        <v>15729.619681186869</v>
      </c>
      <c r="J14" s="148">
        <f t="shared" si="1"/>
        <v>17087.346953914141</v>
      </c>
      <c r="K14" s="148">
        <f t="shared" si="1"/>
        <v>17557.983317550505</v>
      </c>
      <c r="L14" s="148">
        <f t="shared" si="1"/>
        <v>17460.912610479798</v>
      </c>
      <c r="M14" s="148">
        <f t="shared" si="1"/>
        <v>15915.256044823233</v>
      </c>
      <c r="N14" s="148">
        <f t="shared" si="1"/>
        <v>15417.074226641413</v>
      </c>
      <c r="O14" s="148">
        <f t="shared" si="1"/>
        <v>16104.801499368687</v>
      </c>
      <c r="P14" s="148">
        <f t="shared" si="1"/>
        <v>15686.619681186869</v>
      </c>
      <c r="Q14" s="148">
        <f t="shared" si="1"/>
        <v>195137.07075126262</v>
      </c>
    </row>
    <row r="15" spans="1:20" x14ac:dyDescent="0.2">
      <c r="A15" s="95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</row>
    <row r="16" spans="1:20" s="149" customFormat="1" ht="13.5" thickBot="1" x14ac:dyDescent="0.25">
      <c r="A16" s="151"/>
      <c r="D16" s="191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</row>
    <row r="17" spans="1:20" s="10" customFormat="1" x14ac:dyDescent="0.2">
      <c r="A17" s="193" t="s">
        <v>8</v>
      </c>
      <c r="D17" s="194"/>
      <c r="E17" s="195">
        <f>SUM(E14:E16)</f>
        <v>16161.437863005051</v>
      </c>
      <c r="F17" s="195">
        <f t="shared" ref="F17:Q17" si="2">SUM(F14:F16)</f>
        <v>15695.528772095959</v>
      </c>
      <c r="G17" s="195">
        <f t="shared" si="2"/>
        <v>16529.385732323233</v>
      </c>
      <c r="H17" s="195">
        <f t="shared" si="2"/>
        <v>15791.104368686869</v>
      </c>
      <c r="I17" s="195">
        <f t="shared" si="2"/>
        <v>15729.619681186869</v>
      </c>
      <c r="J17" s="195">
        <f t="shared" si="2"/>
        <v>17087.346953914141</v>
      </c>
      <c r="K17" s="195">
        <f t="shared" si="2"/>
        <v>17557.983317550505</v>
      </c>
      <c r="L17" s="195">
        <f t="shared" si="2"/>
        <v>17460.912610479798</v>
      </c>
      <c r="M17" s="195">
        <f t="shared" si="2"/>
        <v>15915.256044823233</v>
      </c>
      <c r="N17" s="195">
        <f t="shared" si="2"/>
        <v>15417.074226641413</v>
      </c>
      <c r="O17" s="195">
        <f t="shared" si="2"/>
        <v>16104.801499368687</v>
      </c>
      <c r="P17" s="195">
        <f t="shared" si="2"/>
        <v>15686.619681186869</v>
      </c>
      <c r="Q17" s="195">
        <f t="shared" si="2"/>
        <v>195137.07075126262</v>
      </c>
    </row>
    <row r="18" spans="1:20" s="6" customFormat="1" x14ac:dyDescent="0.2">
      <c r="A18" s="189"/>
      <c r="D18" s="192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20" s="9" customFormat="1" x14ac:dyDescent="0.2">
      <c r="A19" s="104" t="s">
        <v>80</v>
      </c>
      <c r="B19" s="51"/>
      <c r="C19" s="105"/>
      <c r="D19" s="111"/>
      <c r="E19" s="115" t="s">
        <v>14</v>
      </c>
      <c r="F19" s="115" t="s">
        <v>0</v>
      </c>
      <c r="G19" s="115" t="s">
        <v>1</v>
      </c>
      <c r="H19" s="115" t="s">
        <v>2</v>
      </c>
      <c r="I19" s="115" t="s">
        <v>3</v>
      </c>
      <c r="J19" s="115" t="s">
        <v>22</v>
      </c>
      <c r="K19" s="115" t="s">
        <v>23</v>
      </c>
      <c r="L19" s="115" t="s">
        <v>4</v>
      </c>
      <c r="M19" s="115" t="s">
        <v>24</v>
      </c>
      <c r="N19" s="115" t="s">
        <v>5</v>
      </c>
      <c r="O19" s="115" t="s">
        <v>6</v>
      </c>
      <c r="P19" s="115" t="s">
        <v>7</v>
      </c>
      <c r="Q19" s="17"/>
      <c r="R19" s="108"/>
      <c r="S19" s="108"/>
      <c r="T19" s="108"/>
    </row>
    <row r="21" spans="1:20" x14ac:dyDescent="0.2">
      <c r="A21" s="95" t="s">
        <v>81</v>
      </c>
      <c r="E21" s="148">
        <v>800</v>
      </c>
      <c r="F21" s="148">
        <v>800</v>
      </c>
      <c r="G21" s="148">
        <v>800</v>
      </c>
      <c r="H21" s="148">
        <v>800</v>
      </c>
      <c r="I21" s="148">
        <v>1000</v>
      </c>
      <c r="J21" s="148">
        <v>1200</v>
      </c>
      <c r="K21" s="148">
        <v>1200</v>
      </c>
      <c r="L21" s="148">
        <v>1000</v>
      </c>
      <c r="M21" s="148">
        <v>800</v>
      </c>
      <c r="N21" s="148">
        <v>800</v>
      </c>
      <c r="O21" s="148">
        <v>800</v>
      </c>
      <c r="P21" s="148">
        <v>800</v>
      </c>
      <c r="Q21" s="148">
        <f>SUM(E21:P21)</f>
        <v>10800</v>
      </c>
    </row>
    <row r="22" spans="1:20" x14ac:dyDescent="0.2">
      <c r="A22" s="95" t="s">
        <v>92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>
        <f>SUM(E22:P22)</f>
        <v>0</v>
      </c>
    </row>
    <row r="23" spans="1:20" x14ac:dyDescent="0.2">
      <c r="A23" s="95"/>
      <c r="B23" s="95" t="s">
        <v>93</v>
      </c>
      <c r="E23" s="148"/>
      <c r="F23" s="148">
        <v>45000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>
        <f>SUM(E23:P23)</f>
        <v>45000</v>
      </c>
    </row>
    <row r="24" spans="1:20" ht="12" customHeight="1" x14ac:dyDescent="0.2">
      <c r="A24" s="95"/>
      <c r="B24" s="95" t="s">
        <v>94</v>
      </c>
      <c r="E24" s="148"/>
      <c r="F24" s="148"/>
      <c r="G24" s="148"/>
      <c r="H24" s="148"/>
      <c r="I24" s="148"/>
      <c r="J24" s="148"/>
      <c r="K24" s="148"/>
      <c r="L24" s="148">
        <v>35000</v>
      </c>
      <c r="M24" s="148"/>
      <c r="N24" s="148"/>
      <c r="O24" s="148"/>
      <c r="P24" s="148"/>
      <c r="Q24" s="148">
        <f t="shared" ref="Q24:Q25" si="3">SUM(E24:P24)</f>
        <v>35000</v>
      </c>
    </row>
    <row r="25" spans="1:20" x14ac:dyDescent="0.2">
      <c r="A25" s="95" t="s">
        <v>95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>
        <f t="shared" si="3"/>
        <v>0</v>
      </c>
    </row>
    <row r="26" spans="1:20" x14ac:dyDescent="0.2">
      <c r="A26" s="95"/>
      <c r="B26" s="95" t="s">
        <v>96</v>
      </c>
      <c r="E26" s="148">
        <v>4000</v>
      </c>
      <c r="F26" s="148">
        <v>4000</v>
      </c>
      <c r="G26" s="148">
        <v>4000</v>
      </c>
      <c r="H26" s="148">
        <v>4000</v>
      </c>
      <c r="I26" s="148">
        <v>4000</v>
      </c>
      <c r="J26" s="148">
        <v>4000</v>
      </c>
      <c r="K26" s="148">
        <v>4000</v>
      </c>
      <c r="L26" s="148">
        <v>4000</v>
      </c>
      <c r="M26" s="148">
        <v>4000</v>
      </c>
      <c r="N26" s="148">
        <v>4000</v>
      </c>
      <c r="O26" s="148">
        <v>4000</v>
      </c>
      <c r="P26" s="148">
        <v>4000</v>
      </c>
      <c r="Q26" s="148">
        <f>SUM(E26:P26)</f>
        <v>48000</v>
      </c>
    </row>
    <row r="27" spans="1:20" x14ac:dyDescent="0.2">
      <c r="A27" s="95"/>
      <c r="B27" s="95" t="s">
        <v>97</v>
      </c>
      <c r="D27" s="188"/>
      <c r="E27" s="148">
        <v>5000</v>
      </c>
      <c r="F27" s="148">
        <v>5000</v>
      </c>
      <c r="G27" s="148">
        <v>5000</v>
      </c>
      <c r="H27" s="148">
        <v>5000</v>
      </c>
      <c r="I27" s="148">
        <v>5000</v>
      </c>
      <c r="J27" s="148">
        <v>5000</v>
      </c>
      <c r="K27" s="148">
        <v>5000</v>
      </c>
      <c r="L27" s="148">
        <v>5000</v>
      </c>
      <c r="M27" s="148">
        <v>5000</v>
      </c>
      <c r="N27" s="148">
        <v>5000</v>
      </c>
      <c r="O27" s="148">
        <v>5000</v>
      </c>
      <c r="P27" s="148">
        <v>5000</v>
      </c>
      <c r="Q27" s="148">
        <f>SUM(E27:P27)</f>
        <v>60000</v>
      </c>
    </row>
    <row r="28" spans="1:20" s="149" customFormat="1" ht="13.5" thickBot="1" x14ac:dyDescent="0.25">
      <c r="A28" s="151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>
        <f t="shared" ref="Q28" si="4">SUM(E28:P28)</f>
        <v>0</v>
      </c>
    </row>
    <row r="29" spans="1:20" s="3" customFormat="1" x14ac:dyDescent="0.2">
      <c r="A29" s="3" t="s">
        <v>8</v>
      </c>
      <c r="E29" s="197">
        <f t="shared" ref="E29:Q29" si="5">SUM(E21:E28)</f>
        <v>9800</v>
      </c>
      <c r="F29" s="197">
        <f t="shared" si="5"/>
        <v>54800</v>
      </c>
      <c r="G29" s="197">
        <f t="shared" si="5"/>
        <v>9800</v>
      </c>
      <c r="H29" s="197">
        <f t="shared" si="5"/>
        <v>9800</v>
      </c>
      <c r="I29" s="197">
        <f t="shared" si="5"/>
        <v>10000</v>
      </c>
      <c r="J29" s="197">
        <f t="shared" si="5"/>
        <v>10200</v>
      </c>
      <c r="K29" s="197">
        <f t="shared" si="5"/>
        <v>10200</v>
      </c>
      <c r="L29" s="197">
        <f t="shared" si="5"/>
        <v>45000</v>
      </c>
      <c r="M29" s="197">
        <f t="shared" si="5"/>
        <v>9800</v>
      </c>
      <c r="N29" s="197">
        <f t="shared" si="5"/>
        <v>9800</v>
      </c>
      <c r="O29" s="197">
        <f t="shared" si="5"/>
        <v>9800</v>
      </c>
      <c r="P29" s="197">
        <f t="shared" si="5"/>
        <v>9800</v>
      </c>
      <c r="Q29" s="197">
        <f t="shared" si="5"/>
        <v>198800</v>
      </c>
    </row>
    <row r="32" spans="1:20" x14ac:dyDescent="0.2">
      <c r="A32" s="3" t="s">
        <v>82</v>
      </c>
      <c r="E32" s="148">
        <f>E29-E17</f>
        <v>-6361.4378630050505</v>
      </c>
      <c r="F32" s="148">
        <f t="shared" ref="F32:Q32" si="6">F29-F17</f>
        <v>39104.47122790404</v>
      </c>
      <c r="G32" s="148">
        <f t="shared" si="6"/>
        <v>-6729.3857323232332</v>
      </c>
      <c r="H32" s="148">
        <f t="shared" si="6"/>
        <v>-5991.1043686868688</v>
      </c>
      <c r="I32" s="148">
        <f t="shared" si="6"/>
        <v>-5729.6196811868685</v>
      </c>
      <c r="J32" s="148">
        <f t="shared" si="6"/>
        <v>-6887.3469539141406</v>
      </c>
      <c r="K32" s="148">
        <f t="shared" si="6"/>
        <v>-7357.9833175505046</v>
      </c>
      <c r="L32" s="148">
        <f t="shared" si="6"/>
        <v>27539.087389520202</v>
      </c>
      <c r="M32" s="148">
        <f t="shared" si="6"/>
        <v>-6115.2560448232325</v>
      </c>
      <c r="N32" s="148">
        <f t="shared" si="6"/>
        <v>-5617.0742266414127</v>
      </c>
      <c r="O32" s="148">
        <f t="shared" si="6"/>
        <v>-6304.8014993686866</v>
      </c>
      <c r="P32" s="148">
        <f t="shared" si="6"/>
        <v>-5886.6196811868685</v>
      </c>
      <c r="Q32" s="148">
        <f t="shared" si="6"/>
        <v>3662.929248737375</v>
      </c>
    </row>
  </sheetData>
  <mergeCells count="1">
    <mergeCell ref="E4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T33"/>
  <sheetViews>
    <sheetView zoomScaleNormal="100" workbookViewId="0">
      <selection activeCell="A40" sqref="A40"/>
    </sheetView>
  </sheetViews>
  <sheetFormatPr defaultRowHeight="12.75" outlineLevelCol="1" x14ac:dyDescent="0.2"/>
  <cols>
    <col min="5" max="16" width="9.140625" customWidth="1" outlineLevel="1"/>
  </cols>
  <sheetData>
    <row r="1" spans="1:20" s="16" customFormat="1" x14ac:dyDescent="0.2">
      <c r="A1" s="104" t="str">
        <f>+'Summary budget'!A1</f>
        <v>The most bestest nonprofit</v>
      </c>
      <c r="B1" s="51"/>
      <c r="C1" s="105"/>
      <c r="D1" s="51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06"/>
      <c r="R1" s="107"/>
      <c r="S1" s="107"/>
      <c r="T1" s="107"/>
    </row>
    <row r="2" spans="1:20" s="16" customFormat="1" x14ac:dyDescent="0.2">
      <c r="A2" s="104" t="str">
        <f>+'Summary budget'!A2</f>
        <v>2014 Budget</v>
      </c>
      <c r="B2" s="51"/>
      <c r="C2" s="105"/>
      <c r="D2" s="5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06"/>
      <c r="R2" s="107"/>
      <c r="S2" s="107"/>
      <c r="T2" s="107"/>
    </row>
    <row r="3" spans="1:20" s="187" customFormat="1" x14ac:dyDescent="0.2">
      <c r="A3" s="181" t="s">
        <v>28</v>
      </c>
      <c r="B3" s="182"/>
      <c r="C3" s="183"/>
      <c r="D3" s="182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  <c r="R3" s="186"/>
      <c r="S3" s="186"/>
      <c r="T3" s="186"/>
    </row>
    <row r="4" spans="1:20" s="16" customFormat="1" x14ac:dyDescent="0.2">
      <c r="A4" s="105"/>
      <c r="B4" s="51"/>
      <c r="C4" s="105"/>
      <c r="D4" s="51"/>
      <c r="E4" s="286" t="str">
        <f>'Summary budget'!A2</f>
        <v>2014 Budget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20"/>
      <c r="R4" s="107"/>
      <c r="S4" s="107"/>
      <c r="T4" s="107"/>
    </row>
    <row r="5" spans="1:20" s="9" customFormat="1" x14ac:dyDescent="0.2">
      <c r="A5" s="104" t="s">
        <v>79</v>
      </c>
      <c r="B5" s="51"/>
      <c r="C5" s="105"/>
      <c r="D5" s="111"/>
      <c r="E5" s="115" t="s">
        <v>14</v>
      </c>
      <c r="F5" s="115" t="s">
        <v>0</v>
      </c>
      <c r="G5" s="115" t="s">
        <v>1</v>
      </c>
      <c r="H5" s="115" t="s">
        <v>2</v>
      </c>
      <c r="I5" s="115" t="s">
        <v>3</v>
      </c>
      <c r="J5" s="115" t="s">
        <v>22</v>
      </c>
      <c r="K5" s="115" t="s">
        <v>23</v>
      </c>
      <c r="L5" s="115" t="s">
        <v>4</v>
      </c>
      <c r="M5" s="115" t="s">
        <v>24</v>
      </c>
      <c r="N5" s="115" t="s">
        <v>5</v>
      </c>
      <c r="O5" s="115" t="s">
        <v>6</v>
      </c>
      <c r="P5" s="115" t="s">
        <v>7</v>
      </c>
      <c r="Q5" s="46" t="s">
        <v>8</v>
      </c>
      <c r="R5" s="108"/>
      <c r="S5" s="108"/>
      <c r="T5" s="108"/>
    </row>
    <row r="7" spans="1:20" x14ac:dyDescent="0.2">
      <c r="A7" s="95" t="s">
        <v>72</v>
      </c>
      <c r="E7" s="148">
        <f>Personnel!G130</f>
        <v>10161.06875</v>
      </c>
      <c r="F7" s="148">
        <f>Personnel!H130</f>
        <v>10161.06875</v>
      </c>
      <c r="G7" s="148">
        <f>Personnel!I130</f>
        <v>10423.465625000001</v>
      </c>
      <c r="H7" s="148">
        <f>Personnel!J130</f>
        <v>10488.055625000001</v>
      </c>
      <c r="I7" s="148">
        <f>Personnel!K130</f>
        <v>10161.06875</v>
      </c>
      <c r="J7" s="148">
        <f>Personnel!L130</f>
        <v>10161.06875</v>
      </c>
      <c r="K7" s="148">
        <f>Personnel!M130</f>
        <v>10221.36875</v>
      </c>
      <c r="L7" s="148">
        <f>Personnel!N130</f>
        <v>10221.36875</v>
      </c>
      <c r="M7" s="148">
        <f>Personnel!O130</f>
        <v>10221.36875</v>
      </c>
      <c r="N7" s="148">
        <f>Personnel!P130</f>
        <v>10221.36875</v>
      </c>
      <c r="O7" s="148">
        <f>Personnel!Q130</f>
        <v>10221.36875</v>
      </c>
      <c r="P7" s="148">
        <f>Personnel!R130</f>
        <v>10221.36875</v>
      </c>
      <c r="Q7" s="148">
        <f>SUM(E7:P7)</f>
        <v>122884.00874999996</v>
      </c>
    </row>
    <row r="8" spans="1:20" x14ac:dyDescent="0.2">
      <c r="A8" s="95" t="s">
        <v>44</v>
      </c>
      <c r="E8" s="148">
        <f>Occupancy!F21</f>
        <v>1028.5090909090909</v>
      </c>
      <c r="F8" s="148">
        <f>Occupancy!G21</f>
        <v>864.87272727272727</v>
      </c>
      <c r="G8" s="148">
        <f>Occupancy!H21</f>
        <v>815.78181818181815</v>
      </c>
      <c r="H8" s="148">
        <f>Occupancy!I21</f>
        <v>761.23636363636365</v>
      </c>
      <c r="I8" s="148">
        <f>Occupancy!J21</f>
        <v>701.23636363636365</v>
      </c>
      <c r="J8" s="148">
        <f>Occupancy!K21</f>
        <v>712.14545454545453</v>
      </c>
      <c r="K8" s="148">
        <f>Occupancy!L21</f>
        <v>886.69090909090903</v>
      </c>
      <c r="L8" s="148">
        <f>Occupancy!M21</f>
        <v>733.96363636363628</v>
      </c>
      <c r="M8" s="148">
        <f>Occupancy!N21</f>
        <v>755.78181818181815</v>
      </c>
      <c r="N8" s="148">
        <f>Occupancy!O21</f>
        <v>723.0545454545454</v>
      </c>
      <c r="O8" s="148">
        <f>Occupancy!P21</f>
        <v>793.96363636363628</v>
      </c>
      <c r="P8" s="148">
        <f>Occupancy!Q21</f>
        <v>821.23636363636365</v>
      </c>
      <c r="Q8" s="148">
        <f>SUM(E8:P8)</f>
        <v>9598.4727272727268</v>
      </c>
    </row>
    <row r="9" spans="1:20" x14ac:dyDescent="0.2">
      <c r="A9" s="95" t="s">
        <v>59</v>
      </c>
      <c r="E9" s="148">
        <f>'Support services'!E18</f>
        <v>303.93333333333328</v>
      </c>
      <c r="F9" s="148">
        <f>'Support services'!F18</f>
        <v>303.93333333333328</v>
      </c>
      <c r="G9" s="148">
        <f>'Support services'!G18</f>
        <v>585.93333333333328</v>
      </c>
      <c r="H9" s="148">
        <f>'Support services'!H18</f>
        <v>303.93333333333328</v>
      </c>
      <c r="I9" s="148">
        <f>'Support services'!I18</f>
        <v>303.93333333333328</v>
      </c>
      <c r="J9" s="148">
        <f>'Support services'!J18</f>
        <v>303.93333333333328</v>
      </c>
      <c r="K9" s="148">
        <f>'Support services'!K18</f>
        <v>303.93333333333328</v>
      </c>
      <c r="L9" s="148">
        <f>'Support services'!L18</f>
        <v>617.26666666666665</v>
      </c>
      <c r="M9" s="148">
        <f>'Support services'!M18</f>
        <v>303.93333333333328</v>
      </c>
      <c r="N9" s="148">
        <f>'Support services'!N18</f>
        <v>303.93333333333328</v>
      </c>
      <c r="O9" s="148">
        <f>'Support services'!O18</f>
        <v>303.93333333333328</v>
      </c>
      <c r="P9" s="148">
        <f>'Support services'!P18</f>
        <v>303.93333333333328</v>
      </c>
      <c r="Q9" s="148">
        <f>SUM(E9:P9)</f>
        <v>4242.5333333333338</v>
      </c>
    </row>
    <row r="10" spans="1:20" s="295" customFormat="1" x14ac:dyDescent="0.2">
      <c r="A10" s="294" t="s">
        <v>157</v>
      </c>
      <c r="E10" s="296"/>
      <c r="F10" s="296">
        <v>1000</v>
      </c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>
        <v>2300</v>
      </c>
    </row>
    <row r="11" spans="1:20" ht="12" customHeight="1" x14ac:dyDescent="0.2">
      <c r="A11" s="95" t="s">
        <v>63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>
        <f t="shared" ref="Q11:Q14" si="0">SUM(E11:P11)</f>
        <v>0</v>
      </c>
    </row>
    <row r="12" spans="1:20" x14ac:dyDescent="0.2">
      <c r="A12" s="95" t="s">
        <v>78</v>
      </c>
      <c r="E12" s="148">
        <v>300</v>
      </c>
      <c r="F12" s="148">
        <v>300</v>
      </c>
      <c r="G12" s="148">
        <v>300</v>
      </c>
      <c r="H12" s="148">
        <v>300</v>
      </c>
      <c r="I12" s="148">
        <v>300</v>
      </c>
      <c r="J12" s="148">
        <v>700</v>
      </c>
      <c r="K12" s="148">
        <v>700</v>
      </c>
      <c r="L12" s="148">
        <v>700</v>
      </c>
      <c r="M12" s="148">
        <v>300</v>
      </c>
      <c r="N12" s="148">
        <v>300</v>
      </c>
      <c r="O12" s="148">
        <v>300</v>
      </c>
      <c r="P12" s="148">
        <v>300</v>
      </c>
      <c r="Q12" s="148">
        <f t="shared" si="0"/>
        <v>4800</v>
      </c>
    </row>
    <row r="13" spans="1:20" x14ac:dyDescent="0.2">
      <c r="A13" s="95" t="s">
        <v>75</v>
      </c>
      <c r="E13" s="148"/>
      <c r="F13" s="148">
        <v>500</v>
      </c>
      <c r="G13" s="148"/>
      <c r="H13" s="148"/>
      <c r="I13" s="148"/>
      <c r="J13" s="148"/>
      <c r="K13" s="148"/>
      <c r="L13" s="148"/>
      <c r="M13" s="148"/>
      <c r="N13" s="148"/>
      <c r="O13" s="148">
        <v>500</v>
      </c>
      <c r="P13" s="148"/>
      <c r="Q13" s="148">
        <f>SUM(E13:P13)</f>
        <v>1000</v>
      </c>
    </row>
    <row r="14" spans="1:20" s="298" customFormat="1" ht="13.5" thickBot="1" x14ac:dyDescent="0.25">
      <c r="A14" s="297" t="s">
        <v>166</v>
      </c>
      <c r="E14" s="299"/>
      <c r="F14" s="299"/>
      <c r="G14" s="299"/>
      <c r="H14" s="299"/>
      <c r="I14" s="299">
        <v>500</v>
      </c>
      <c r="J14" s="299">
        <v>800</v>
      </c>
      <c r="K14" s="299">
        <v>800</v>
      </c>
      <c r="L14" s="299">
        <v>800</v>
      </c>
      <c r="M14" s="299">
        <v>400</v>
      </c>
      <c r="N14" s="299"/>
      <c r="O14" s="299"/>
      <c r="P14" s="299"/>
      <c r="Q14" s="299">
        <f t="shared" si="0"/>
        <v>3300</v>
      </c>
    </row>
    <row r="15" spans="1:20" x14ac:dyDescent="0.2">
      <c r="A15" s="95" t="s">
        <v>83</v>
      </c>
      <c r="E15" s="148">
        <f t="shared" ref="E15:Q15" si="1">SUM(E7:E14)</f>
        <v>11793.511174242423</v>
      </c>
      <c r="F15" s="148">
        <f t="shared" si="1"/>
        <v>13129.874810606059</v>
      </c>
      <c r="G15" s="148">
        <f t="shared" si="1"/>
        <v>12125.180776515152</v>
      </c>
      <c r="H15" s="148">
        <f t="shared" si="1"/>
        <v>11853.225321969698</v>
      </c>
      <c r="I15" s="148">
        <f t="shared" si="1"/>
        <v>11966.238446969697</v>
      </c>
      <c r="J15" s="148">
        <f t="shared" si="1"/>
        <v>12677.147537878787</v>
      </c>
      <c r="K15" s="148">
        <f t="shared" si="1"/>
        <v>12911.992992424241</v>
      </c>
      <c r="L15" s="148">
        <f t="shared" si="1"/>
        <v>13072.599053030302</v>
      </c>
      <c r="M15" s="148">
        <f t="shared" si="1"/>
        <v>11981.083901515151</v>
      </c>
      <c r="N15" s="148">
        <f t="shared" si="1"/>
        <v>11548.356628787877</v>
      </c>
      <c r="O15" s="148">
        <f t="shared" si="1"/>
        <v>12119.265719696969</v>
      </c>
      <c r="P15" s="148">
        <f t="shared" si="1"/>
        <v>11646.538446969696</v>
      </c>
      <c r="Q15" s="148">
        <f t="shared" si="1"/>
        <v>148125.01481060602</v>
      </c>
    </row>
    <row r="17" spans="1:20" s="149" customFormat="1" ht="13.5" thickBot="1" x14ac:dyDescent="0.25">
      <c r="A17" s="151"/>
      <c r="D17" s="191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20" s="3" customFormat="1" x14ac:dyDescent="0.2">
      <c r="A18" s="3" t="s">
        <v>8</v>
      </c>
      <c r="D18" s="196"/>
      <c r="E18" s="197">
        <f>SUM(E15:E17)</f>
        <v>11793.511174242423</v>
      </c>
      <c r="F18" s="197">
        <f t="shared" ref="F18:Q18" si="2">SUM(F15:F17)</f>
        <v>13129.874810606059</v>
      </c>
      <c r="G18" s="197">
        <f t="shared" si="2"/>
        <v>12125.180776515152</v>
      </c>
      <c r="H18" s="197">
        <f t="shared" si="2"/>
        <v>11853.225321969698</v>
      </c>
      <c r="I18" s="197">
        <f t="shared" si="2"/>
        <v>11966.238446969697</v>
      </c>
      <c r="J18" s="197">
        <f t="shared" si="2"/>
        <v>12677.147537878787</v>
      </c>
      <c r="K18" s="197">
        <f t="shared" si="2"/>
        <v>12911.992992424241</v>
      </c>
      <c r="L18" s="197">
        <f t="shared" si="2"/>
        <v>13072.599053030302</v>
      </c>
      <c r="M18" s="197">
        <f t="shared" si="2"/>
        <v>11981.083901515151</v>
      </c>
      <c r="N18" s="197">
        <f t="shared" si="2"/>
        <v>11548.356628787877</v>
      </c>
      <c r="O18" s="197">
        <f t="shared" si="2"/>
        <v>12119.265719696969</v>
      </c>
      <c r="P18" s="197">
        <f t="shared" si="2"/>
        <v>11646.538446969696</v>
      </c>
      <c r="Q18" s="197">
        <f t="shared" si="2"/>
        <v>148125.01481060602</v>
      </c>
    </row>
    <row r="19" spans="1:20" x14ac:dyDescent="0.2">
      <c r="A19" s="95"/>
      <c r="D19" s="18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20" s="9" customFormat="1" x14ac:dyDescent="0.2">
      <c r="A20" s="104" t="s">
        <v>80</v>
      </c>
      <c r="B20" s="51"/>
      <c r="C20" s="105"/>
      <c r="D20" s="111"/>
      <c r="E20" s="115" t="s">
        <v>14</v>
      </c>
      <c r="F20" s="115" t="s">
        <v>0</v>
      </c>
      <c r="G20" s="115" t="s">
        <v>1</v>
      </c>
      <c r="H20" s="115" t="s">
        <v>2</v>
      </c>
      <c r="I20" s="115" t="s">
        <v>3</v>
      </c>
      <c r="J20" s="115" t="s">
        <v>22</v>
      </c>
      <c r="K20" s="115" t="s">
        <v>23</v>
      </c>
      <c r="L20" s="115" t="s">
        <v>4</v>
      </c>
      <c r="M20" s="115" t="s">
        <v>24</v>
      </c>
      <c r="N20" s="115" t="s">
        <v>5</v>
      </c>
      <c r="O20" s="115" t="s">
        <v>6</v>
      </c>
      <c r="P20" s="115" t="s">
        <v>7</v>
      </c>
      <c r="Q20" s="17"/>
      <c r="R20" s="108"/>
      <c r="S20" s="108"/>
      <c r="T20" s="108"/>
    </row>
    <row r="22" spans="1:20" x14ac:dyDescent="0.2">
      <c r="A22" s="95" t="s">
        <v>81</v>
      </c>
      <c r="E22" s="148">
        <v>750</v>
      </c>
      <c r="F22" s="148">
        <v>750</v>
      </c>
      <c r="G22" s="148">
        <v>750</v>
      </c>
      <c r="H22" s="148">
        <v>750</v>
      </c>
      <c r="I22" s="148">
        <v>800</v>
      </c>
      <c r="J22" s="148">
        <v>900</v>
      </c>
      <c r="K22" s="148">
        <v>900</v>
      </c>
      <c r="L22" s="148">
        <v>900</v>
      </c>
      <c r="M22" s="148">
        <v>800</v>
      </c>
      <c r="N22" s="148">
        <v>750</v>
      </c>
      <c r="O22" s="148">
        <v>750</v>
      </c>
      <c r="P22" s="148">
        <v>750</v>
      </c>
      <c r="Q22" s="148">
        <f>SUM(E22:P22)</f>
        <v>9550</v>
      </c>
    </row>
    <row r="23" spans="1:20" x14ac:dyDescent="0.2">
      <c r="A23" s="95" t="s">
        <v>92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>
        <f>SUM(E23:P23)</f>
        <v>0</v>
      </c>
    </row>
    <row r="24" spans="1:20" x14ac:dyDescent="0.2">
      <c r="A24" s="95"/>
      <c r="B24" s="95" t="s">
        <v>98</v>
      </c>
      <c r="E24" s="148"/>
      <c r="F24" s="148"/>
      <c r="G24" s="148">
        <v>20000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>
        <f>SUM(E24:P24)</f>
        <v>20000</v>
      </c>
    </row>
    <row r="25" spans="1:20" ht="12" customHeight="1" x14ac:dyDescent="0.2">
      <c r="A25" s="95"/>
      <c r="B25" s="95" t="s">
        <v>99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>
        <v>30000</v>
      </c>
      <c r="P25" s="148"/>
      <c r="Q25" s="148">
        <f t="shared" ref="Q25:Q26" si="3">SUM(E25:P25)</f>
        <v>30000</v>
      </c>
    </row>
    <row r="26" spans="1:20" x14ac:dyDescent="0.2">
      <c r="A26" s="95" t="s">
        <v>95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>
        <f t="shared" si="3"/>
        <v>0</v>
      </c>
    </row>
    <row r="27" spans="1:20" x14ac:dyDescent="0.2">
      <c r="A27" s="95"/>
      <c r="B27" s="95" t="s">
        <v>100</v>
      </c>
      <c r="E27" s="148">
        <v>2000</v>
      </c>
      <c r="F27" s="148">
        <v>2000</v>
      </c>
      <c r="G27" s="148">
        <v>2000</v>
      </c>
      <c r="H27" s="148">
        <v>2000</v>
      </c>
      <c r="I27" s="148">
        <v>2000</v>
      </c>
      <c r="J27" s="148">
        <v>2000</v>
      </c>
      <c r="K27" s="148">
        <v>2000</v>
      </c>
      <c r="L27" s="148">
        <v>2000</v>
      </c>
      <c r="M27" s="148">
        <v>2000</v>
      </c>
      <c r="N27" s="148">
        <v>2000</v>
      </c>
      <c r="O27" s="148">
        <v>2000</v>
      </c>
      <c r="P27" s="148">
        <v>2000</v>
      </c>
      <c r="Q27" s="148">
        <f>SUM(E27:P27)</f>
        <v>24000</v>
      </c>
    </row>
    <row r="28" spans="1:20" x14ac:dyDescent="0.2">
      <c r="A28" s="95"/>
      <c r="B28" s="95" t="s">
        <v>102</v>
      </c>
      <c r="D28" s="188"/>
      <c r="E28" s="148">
        <v>1000</v>
      </c>
      <c r="F28" s="148">
        <v>1000</v>
      </c>
      <c r="G28" s="148">
        <v>1000</v>
      </c>
      <c r="H28" s="148">
        <v>1000</v>
      </c>
      <c r="I28" s="148">
        <v>1000</v>
      </c>
      <c r="J28" s="148">
        <v>500</v>
      </c>
      <c r="K28" s="148"/>
      <c r="L28" s="148"/>
      <c r="M28" s="148">
        <v>750</v>
      </c>
      <c r="N28" s="148">
        <v>1000</v>
      </c>
      <c r="O28" s="148">
        <v>1000</v>
      </c>
      <c r="P28" s="148">
        <v>1000</v>
      </c>
      <c r="Q28" s="148">
        <f>SUM(E28:P28)</f>
        <v>9250</v>
      </c>
    </row>
    <row r="29" spans="1:20" s="149" customFormat="1" ht="13.5" thickBot="1" x14ac:dyDescent="0.25">
      <c r="A29" s="151"/>
      <c r="B29" s="151" t="s">
        <v>103</v>
      </c>
      <c r="E29" s="150"/>
      <c r="F29" s="150"/>
      <c r="G29" s="150"/>
      <c r="H29" s="150"/>
      <c r="I29" s="150">
        <v>3000</v>
      </c>
      <c r="J29" s="150">
        <v>5000</v>
      </c>
      <c r="K29" s="150">
        <v>5000</v>
      </c>
      <c r="L29" s="150">
        <v>5000</v>
      </c>
      <c r="M29" s="150"/>
      <c r="N29" s="150"/>
      <c r="O29" s="150"/>
      <c r="P29" s="150"/>
      <c r="Q29" s="150">
        <f t="shared" ref="Q29" si="4">SUM(E29:P29)</f>
        <v>18000</v>
      </c>
    </row>
    <row r="30" spans="1:20" s="3" customFormat="1" x14ac:dyDescent="0.2">
      <c r="A30" s="3" t="s">
        <v>8</v>
      </c>
      <c r="E30" s="197">
        <f t="shared" ref="E30:Q30" si="5">SUM(E22:E29)</f>
        <v>3750</v>
      </c>
      <c r="F30" s="197">
        <f t="shared" si="5"/>
        <v>3750</v>
      </c>
      <c r="G30" s="197">
        <f t="shared" si="5"/>
        <v>23750</v>
      </c>
      <c r="H30" s="197">
        <f t="shared" si="5"/>
        <v>3750</v>
      </c>
      <c r="I30" s="197">
        <f t="shared" si="5"/>
        <v>6800</v>
      </c>
      <c r="J30" s="197">
        <f t="shared" si="5"/>
        <v>8400</v>
      </c>
      <c r="K30" s="197">
        <f t="shared" si="5"/>
        <v>7900</v>
      </c>
      <c r="L30" s="197">
        <f t="shared" si="5"/>
        <v>7900</v>
      </c>
      <c r="M30" s="197">
        <f t="shared" si="5"/>
        <v>3550</v>
      </c>
      <c r="N30" s="197">
        <f t="shared" si="5"/>
        <v>3750</v>
      </c>
      <c r="O30" s="197">
        <f t="shared" si="5"/>
        <v>33750</v>
      </c>
      <c r="P30" s="197">
        <f t="shared" si="5"/>
        <v>3750</v>
      </c>
      <c r="Q30" s="197">
        <f t="shared" si="5"/>
        <v>110800</v>
      </c>
    </row>
    <row r="33" spans="1:17" x14ac:dyDescent="0.2">
      <c r="A33" s="3" t="s">
        <v>82</v>
      </c>
      <c r="E33" s="148">
        <f>E30-E18</f>
        <v>-8043.5111742424233</v>
      </c>
      <c r="F33" s="148">
        <f t="shared" ref="F33:Q33" si="6">F30-F18</f>
        <v>-9379.8748106060593</v>
      </c>
      <c r="G33" s="148">
        <f t="shared" si="6"/>
        <v>11624.819223484848</v>
      </c>
      <c r="H33" s="148">
        <f t="shared" si="6"/>
        <v>-8103.2253219696977</v>
      </c>
      <c r="I33" s="148">
        <f t="shared" si="6"/>
        <v>-5166.2384469696972</v>
      </c>
      <c r="J33" s="148">
        <f t="shared" si="6"/>
        <v>-4277.1475378787873</v>
      </c>
      <c r="K33" s="148">
        <f t="shared" si="6"/>
        <v>-5011.9929924242406</v>
      </c>
      <c r="L33" s="148">
        <f t="shared" si="6"/>
        <v>-5172.5990530303025</v>
      </c>
      <c r="M33" s="148">
        <f t="shared" si="6"/>
        <v>-8431.0839015151505</v>
      </c>
      <c r="N33" s="148">
        <f t="shared" si="6"/>
        <v>-7798.3566287878766</v>
      </c>
      <c r="O33" s="148">
        <f t="shared" si="6"/>
        <v>21630.734280303033</v>
      </c>
      <c r="P33" s="148">
        <f t="shared" si="6"/>
        <v>-7896.5384469696965</v>
      </c>
      <c r="Q33" s="148">
        <f t="shared" si="6"/>
        <v>-37325.014810606022</v>
      </c>
    </row>
  </sheetData>
  <mergeCells count="1">
    <mergeCell ref="E4:P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20"/>
  <sheetViews>
    <sheetView workbookViewId="0">
      <selection activeCell="B34" sqref="B34"/>
    </sheetView>
  </sheetViews>
  <sheetFormatPr defaultRowHeight="12.75" outlineLevelCol="1" x14ac:dyDescent="0.2"/>
  <cols>
    <col min="5" max="16" width="9.140625" customWidth="1" outlineLevel="1"/>
  </cols>
  <sheetData>
    <row r="1" spans="1:20" s="16" customFormat="1" x14ac:dyDescent="0.2">
      <c r="A1" s="104" t="str">
        <f>+'Summary budget'!A1</f>
        <v>The most bestest nonprofit</v>
      </c>
      <c r="B1" s="51"/>
      <c r="C1" s="105"/>
      <c r="D1" s="51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06"/>
      <c r="R1" s="107"/>
      <c r="S1" s="107"/>
      <c r="T1" s="107"/>
    </row>
    <row r="2" spans="1:20" s="16" customFormat="1" x14ac:dyDescent="0.2">
      <c r="A2" s="104" t="str">
        <f>+'Summary budget'!A2</f>
        <v>2014 Budget</v>
      </c>
      <c r="B2" s="51"/>
      <c r="C2" s="105"/>
      <c r="D2" s="5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06"/>
      <c r="R2" s="107"/>
      <c r="S2" s="107"/>
      <c r="T2" s="107"/>
    </row>
    <row r="3" spans="1:20" s="166" customFormat="1" x14ac:dyDescent="0.2">
      <c r="A3" s="161" t="s">
        <v>139</v>
      </c>
      <c r="B3" s="67"/>
      <c r="C3" s="162"/>
      <c r="D3" s="67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4"/>
      <c r="R3" s="165"/>
      <c r="S3" s="165"/>
      <c r="T3" s="165"/>
    </row>
    <row r="4" spans="1:20" s="16" customFormat="1" x14ac:dyDescent="0.2">
      <c r="A4" s="105"/>
      <c r="B4" s="51"/>
      <c r="C4" s="105"/>
      <c r="D4" s="51"/>
      <c r="E4" s="286" t="str">
        <f>'Summary budget'!A2</f>
        <v>2014 Budget</v>
      </c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120"/>
      <c r="R4" s="107"/>
      <c r="S4" s="107"/>
      <c r="T4" s="107"/>
    </row>
    <row r="5" spans="1:20" s="9" customFormat="1" x14ac:dyDescent="0.2">
      <c r="A5" s="105"/>
      <c r="B5" s="51"/>
      <c r="C5" s="105"/>
      <c r="D5" s="111"/>
      <c r="E5" s="115" t="s">
        <v>14</v>
      </c>
      <c r="F5" s="115" t="s">
        <v>0</v>
      </c>
      <c r="G5" s="115" t="s">
        <v>1</v>
      </c>
      <c r="H5" s="115" t="s">
        <v>2</v>
      </c>
      <c r="I5" s="115" t="s">
        <v>3</v>
      </c>
      <c r="J5" s="115" t="s">
        <v>22</v>
      </c>
      <c r="K5" s="115" t="s">
        <v>23</v>
      </c>
      <c r="L5" s="115" t="s">
        <v>4</v>
      </c>
      <c r="M5" s="115" t="s">
        <v>24</v>
      </c>
      <c r="N5" s="115" t="s">
        <v>5</v>
      </c>
      <c r="O5" s="115" t="s">
        <v>6</v>
      </c>
      <c r="P5" s="115" t="s">
        <v>7</v>
      </c>
      <c r="Q5" s="46" t="s">
        <v>8</v>
      </c>
      <c r="R5" s="108"/>
      <c r="S5" s="108"/>
      <c r="T5" s="108"/>
    </row>
    <row r="7" spans="1:20" x14ac:dyDescent="0.2">
      <c r="A7" s="95" t="s">
        <v>72</v>
      </c>
      <c r="E7" s="148">
        <f>Personnel!G131</f>
        <v>4383.953125</v>
      </c>
      <c r="F7" s="148">
        <f>Personnel!H131</f>
        <v>4383.953125</v>
      </c>
      <c r="G7" s="148">
        <f>Personnel!I131</f>
        <v>4558.8843749999996</v>
      </c>
      <c r="H7" s="148">
        <f>Personnel!J131</f>
        <v>4601.944375</v>
      </c>
      <c r="I7" s="148">
        <f>Personnel!K131</f>
        <v>4383.953125</v>
      </c>
      <c r="J7" s="148">
        <f>Personnel!L131</f>
        <v>4383.953125</v>
      </c>
      <c r="K7" s="148">
        <f>Personnel!M131</f>
        <v>4432.953125</v>
      </c>
      <c r="L7" s="148">
        <f>Personnel!N131</f>
        <v>4432.953125</v>
      </c>
      <c r="M7" s="148">
        <f>Personnel!O131</f>
        <v>4432.953125</v>
      </c>
      <c r="N7" s="148">
        <f>Personnel!P131</f>
        <v>4432.953125</v>
      </c>
      <c r="O7" s="148">
        <f>Personnel!Q131</f>
        <v>4432.953125</v>
      </c>
      <c r="P7" s="148">
        <f>Personnel!R131</f>
        <v>4432.953125</v>
      </c>
      <c r="Q7" s="148">
        <f>Personnel!S131</f>
        <v>53294.36</v>
      </c>
    </row>
    <row r="8" spans="1:20" x14ac:dyDescent="0.2">
      <c r="A8" s="95" t="s">
        <v>44</v>
      </c>
      <c r="E8" s="148">
        <f>Occupancy!F22</f>
        <v>428.54545454545456</v>
      </c>
      <c r="F8" s="148">
        <f>Occupancy!G22</f>
        <v>360.36363636363637</v>
      </c>
      <c r="G8" s="148">
        <f>Occupancy!H22</f>
        <v>339.90909090909093</v>
      </c>
      <c r="H8" s="148">
        <f>Occupancy!I22</f>
        <v>317.18181818181819</v>
      </c>
      <c r="I8" s="148">
        <f>Occupancy!J22</f>
        <v>292.18181818181819</v>
      </c>
      <c r="J8" s="148">
        <f>Occupancy!K22</f>
        <v>296.72727272727275</v>
      </c>
      <c r="K8" s="148">
        <f>Occupancy!L22</f>
        <v>369.45454545454544</v>
      </c>
      <c r="L8" s="148">
        <f>Occupancy!M22</f>
        <v>305.81818181818181</v>
      </c>
      <c r="M8" s="148">
        <f>Occupancy!N22</f>
        <v>314.90909090909093</v>
      </c>
      <c r="N8" s="148">
        <f>Occupancy!O22</f>
        <v>301.27272727272731</v>
      </c>
      <c r="O8" s="148">
        <f>Occupancy!P22</f>
        <v>330.81818181818181</v>
      </c>
      <c r="P8" s="148">
        <f>Occupancy!Q22</f>
        <v>342.18181818181819</v>
      </c>
      <c r="Q8" s="148">
        <f>Occupancy!R22</f>
        <v>3999.3636363636369</v>
      </c>
    </row>
    <row r="9" spans="1:20" x14ac:dyDescent="0.2">
      <c r="A9" s="95" t="s">
        <v>59</v>
      </c>
      <c r="E9" s="148">
        <f>'Support services'!E19</f>
        <v>91.6111111111111</v>
      </c>
      <c r="F9" s="148">
        <f>'Support services'!F19</f>
        <v>91.6111111111111</v>
      </c>
      <c r="G9" s="148">
        <f>'Support services'!G19</f>
        <v>176.61111111111109</v>
      </c>
      <c r="H9" s="148">
        <f>'Support services'!H19</f>
        <v>91.6111111111111</v>
      </c>
      <c r="I9" s="148">
        <f>'Support services'!I19</f>
        <v>91.6111111111111</v>
      </c>
      <c r="J9" s="148">
        <f>'Support services'!J19</f>
        <v>91.6111111111111</v>
      </c>
      <c r="K9" s="148">
        <f>'Support services'!K19</f>
        <v>91.6111111111111</v>
      </c>
      <c r="L9" s="148">
        <f>'Support services'!L19</f>
        <v>186.05555555555551</v>
      </c>
      <c r="M9" s="148">
        <f>'Support services'!M19</f>
        <v>91.6111111111111</v>
      </c>
      <c r="N9" s="148">
        <f>'Support services'!N19</f>
        <v>91.6111111111111</v>
      </c>
      <c r="O9" s="148">
        <f>'Support services'!O19</f>
        <v>91.6111111111111</v>
      </c>
      <c r="P9" s="148">
        <f>'Support services'!P19</f>
        <v>91.6111111111111</v>
      </c>
      <c r="Q9" s="148">
        <f>'Support services'!Q19</f>
        <v>1278.7777777777776</v>
      </c>
    </row>
    <row r="10" spans="1:20" x14ac:dyDescent="0.2">
      <c r="A10" s="95" t="s">
        <v>65</v>
      </c>
      <c r="E10" s="148">
        <v>85</v>
      </c>
      <c r="F10" s="148">
        <v>85</v>
      </c>
      <c r="G10" s="148">
        <v>85</v>
      </c>
      <c r="H10" s="148">
        <v>85</v>
      </c>
      <c r="I10" s="148">
        <v>85</v>
      </c>
      <c r="J10" s="148">
        <v>85</v>
      </c>
      <c r="K10" s="148">
        <v>85</v>
      </c>
      <c r="L10" s="148">
        <v>85</v>
      </c>
      <c r="M10" s="148">
        <v>85</v>
      </c>
      <c r="N10" s="148">
        <v>85</v>
      </c>
      <c r="O10" s="148">
        <v>85</v>
      </c>
      <c r="P10" s="148">
        <v>85</v>
      </c>
      <c r="Q10" s="148">
        <f t="shared" ref="Q10:Q16" si="0">SUM(E10:P10)</f>
        <v>1020</v>
      </c>
    </row>
    <row r="11" spans="1:20" x14ac:dyDescent="0.2">
      <c r="A11" s="95" t="s">
        <v>66</v>
      </c>
      <c r="E11" s="148">
        <v>125</v>
      </c>
      <c r="F11" s="148"/>
      <c r="G11" s="148">
        <v>125</v>
      </c>
      <c r="H11" s="148"/>
      <c r="I11" s="148">
        <v>500</v>
      </c>
      <c r="J11" s="148"/>
      <c r="K11" s="148">
        <v>125</v>
      </c>
      <c r="L11" s="148"/>
      <c r="M11" s="148">
        <v>125</v>
      </c>
      <c r="N11" s="148"/>
      <c r="O11" s="148">
        <v>125</v>
      </c>
      <c r="P11" s="148"/>
      <c r="Q11" s="148">
        <f t="shared" si="0"/>
        <v>1125</v>
      </c>
    </row>
    <row r="12" spans="1:20" x14ac:dyDescent="0.2">
      <c r="A12" s="95" t="s">
        <v>67</v>
      </c>
      <c r="E12" s="148"/>
      <c r="F12" s="148"/>
      <c r="G12" s="148">
        <v>5000</v>
      </c>
      <c r="H12" s="148">
        <v>6000</v>
      </c>
      <c r="I12" s="148"/>
      <c r="J12" s="148"/>
      <c r="K12" s="148"/>
      <c r="L12" s="148"/>
      <c r="M12" s="148"/>
      <c r="N12" s="148"/>
      <c r="O12" s="148"/>
      <c r="P12" s="148"/>
      <c r="Q12" s="148">
        <f t="shared" si="0"/>
        <v>11000</v>
      </c>
    </row>
    <row r="13" spans="1:20" x14ac:dyDescent="0.2">
      <c r="A13" s="95" t="s">
        <v>68</v>
      </c>
      <c r="E13" s="148"/>
      <c r="F13" s="148">
        <v>1500</v>
      </c>
      <c r="G13" s="148"/>
      <c r="H13" s="148"/>
      <c r="I13" s="148"/>
      <c r="J13" s="148"/>
      <c r="K13" s="148"/>
      <c r="L13" s="148">
        <v>1500</v>
      </c>
      <c r="M13" s="148"/>
      <c r="N13" s="148"/>
      <c r="O13" s="148"/>
      <c r="P13" s="148"/>
      <c r="Q13" s="148">
        <f t="shared" si="0"/>
        <v>3000</v>
      </c>
    </row>
    <row r="14" spans="1:20" x14ac:dyDescent="0.2">
      <c r="A14" s="95" t="s">
        <v>75</v>
      </c>
      <c r="E14" s="148"/>
      <c r="F14" s="148"/>
      <c r="G14" s="148">
        <v>500</v>
      </c>
      <c r="H14" s="148"/>
      <c r="I14" s="148"/>
      <c r="J14" s="148">
        <v>1000</v>
      </c>
      <c r="K14" s="148"/>
      <c r="L14" s="148"/>
      <c r="M14" s="148"/>
      <c r="N14" s="148">
        <v>500</v>
      </c>
      <c r="O14" s="148"/>
      <c r="P14" s="148"/>
      <c r="Q14" s="148">
        <f t="shared" si="0"/>
        <v>2000</v>
      </c>
    </row>
    <row r="15" spans="1:20" x14ac:dyDescent="0.2">
      <c r="A15" s="95" t="s">
        <v>69</v>
      </c>
      <c r="E15" s="148">
        <v>300</v>
      </c>
      <c r="F15" s="148">
        <v>300</v>
      </c>
      <c r="G15" s="148">
        <v>300</v>
      </c>
      <c r="H15" s="148">
        <v>300</v>
      </c>
      <c r="I15" s="148">
        <v>300</v>
      </c>
      <c r="J15" s="148">
        <v>300</v>
      </c>
      <c r="K15" s="148">
        <v>300</v>
      </c>
      <c r="L15" s="148">
        <v>300</v>
      </c>
      <c r="M15" s="148">
        <v>300</v>
      </c>
      <c r="N15" s="148">
        <v>300</v>
      </c>
      <c r="O15" s="148">
        <v>300</v>
      </c>
      <c r="P15" s="148">
        <v>300</v>
      </c>
      <c r="Q15" s="148">
        <f t="shared" si="0"/>
        <v>3600</v>
      </c>
    </row>
    <row r="16" spans="1:20" s="298" customFormat="1" ht="13.5" thickBot="1" x14ac:dyDescent="0.25">
      <c r="A16" s="297" t="s">
        <v>70</v>
      </c>
      <c r="E16" s="299">
        <v>75</v>
      </c>
      <c r="F16" s="299">
        <v>75</v>
      </c>
      <c r="G16" s="299">
        <v>75</v>
      </c>
      <c r="H16" s="299">
        <v>75</v>
      </c>
      <c r="I16" s="299">
        <v>2000</v>
      </c>
      <c r="J16" s="299">
        <v>75</v>
      </c>
      <c r="K16" s="299">
        <v>75</v>
      </c>
      <c r="L16" s="299">
        <v>75</v>
      </c>
      <c r="M16" s="299">
        <v>75</v>
      </c>
      <c r="N16" s="299">
        <v>75</v>
      </c>
      <c r="O16" s="299">
        <v>1000</v>
      </c>
      <c r="P16" s="299">
        <v>75</v>
      </c>
      <c r="Q16" s="299">
        <f t="shared" si="0"/>
        <v>3750</v>
      </c>
    </row>
    <row r="17" spans="1:20" x14ac:dyDescent="0.2">
      <c r="A17" s="95" t="s">
        <v>8</v>
      </c>
      <c r="E17" s="148">
        <f t="shared" ref="E17:Q17" si="1">SUM(E7:E16)</f>
        <v>5489.1096906565663</v>
      </c>
      <c r="F17" s="148">
        <f t="shared" si="1"/>
        <v>6795.9278724747473</v>
      </c>
      <c r="G17" s="148">
        <f t="shared" si="1"/>
        <v>11160.404577020203</v>
      </c>
      <c r="H17" s="148">
        <f t="shared" si="1"/>
        <v>11470.737304292928</v>
      </c>
      <c r="I17" s="148">
        <f t="shared" si="1"/>
        <v>7652.7460542929293</v>
      </c>
      <c r="J17" s="148">
        <f t="shared" si="1"/>
        <v>6232.2915088383843</v>
      </c>
      <c r="K17" s="148">
        <f t="shared" si="1"/>
        <v>5479.0187815656564</v>
      </c>
      <c r="L17" s="148">
        <f t="shared" si="1"/>
        <v>6884.8268623737376</v>
      </c>
      <c r="M17" s="148">
        <f t="shared" si="1"/>
        <v>5424.4733270202023</v>
      </c>
      <c r="N17" s="148">
        <f t="shared" si="1"/>
        <v>5785.8369633838383</v>
      </c>
      <c r="O17" s="148">
        <f t="shared" si="1"/>
        <v>6365.3824179292933</v>
      </c>
      <c r="P17" s="148">
        <f t="shared" si="1"/>
        <v>5326.7460542929293</v>
      </c>
      <c r="Q17" s="148">
        <f t="shared" si="1"/>
        <v>84067.501414141414</v>
      </c>
    </row>
    <row r="19" spans="1:20" s="9" customFormat="1" x14ac:dyDescent="0.2">
      <c r="A19" s="104" t="s">
        <v>80</v>
      </c>
      <c r="B19" s="51"/>
      <c r="C19" s="105"/>
      <c r="D19" s="111"/>
      <c r="E19" s="115" t="s">
        <v>14</v>
      </c>
      <c r="F19" s="115" t="s">
        <v>0</v>
      </c>
      <c r="G19" s="115" t="s">
        <v>1</v>
      </c>
      <c r="H19" s="115" t="s">
        <v>2</v>
      </c>
      <c r="I19" s="115" t="s">
        <v>3</v>
      </c>
      <c r="J19" s="115" t="s">
        <v>22</v>
      </c>
      <c r="K19" s="115" t="s">
        <v>23</v>
      </c>
      <c r="L19" s="115" t="s">
        <v>4</v>
      </c>
      <c r="M19" s="115" t="s">
        <v>24</v>
      </c>
      <c r="N19" s="115" t="s">
        <v>5</v>
      </c>
      <c r="O19" s="115" t="s">
        <v>6</v>
      </c>
      <c r="P19" s="115" t="s">
        <v>7</v>
      </c>
      <c r="Q19" s="17"/>
      <c r="R19" s="108"/>
      <c r="S19" s="108"/>
      <c r="T19" s="108"/>
    </row>
    <row r="20" spans="1:20" x14ac:dyDescent="0.2">
      <c r="A20" s="95" t="s">
        <v>101</v>
      </c>
      <c r="B20" s="95"/>
      <c r="D20" s="188"/>
      <c r="E20" s="148">
        <v>50</v>
      </c>
      <c r="F20" s="148">
        <v>50</v>
      </c>
      <c r="G20" s="148">
        <v>50</v>
      </c>
      <c r="H20" s="148">
        <v>50</v>
      </c>
      <c r="I20" s="148">
        <v>50</v>
      </c>
      <c r="J20" s="148">
        <v>50</v>
      </c>
      <c r="K20" s="148">
        <v>50</v>
      </c>
      <c r="L20" s="148">
        <v>50</v>
      </c>
      <c r="M20" s="148">
        <v>50</v>
      </c>
      <c r="N20" s="148">
        <v>50</v>
      </c>
      <c r="O20" s="148">
        <v>50</v>
      </c>
      <c r="P20" s="148">
        <v>50</v>
      </c>
      <c r="Q20" s="148">
        <f>SUM(E20:P20)</f>
        <v>600</v>
      </c>
    </row>
  </sheetData>
  <mergeCells count="1">
    <mergeCell ref="E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Summary budget</vt:lpstr>
      <vt:lpstr>Personnel</vt:lpstr>
      <vt:lpstr>Occupancy</vt:lpstr>
      <vt:lpstr>Sheet2</vt:lpstr>
      <vt:lpstr>Sheet3</vt:lpstr>
      <vt:lpstr>Support services</vt:lpstr>
      <vt:lpstr>Program 1</vt:lpstr>
      <vt:lpstr>Program 2</vt:lpstr>
      <vt:lpstr>Management &amp; General</vt:lpstr>
      <vt:lpstr>Marketing</vt:lpstr>
      <vt:lpstr>Fundraising</vt:lpstr>
      <vt:lpstr>Allocations</vt:lpstr>
      <vt:lpstr>TempRestricted</vt:lpstr>
      <vt:lpstr>Occupancy!Print_Titles</vt:lpstr>
      <vt:lpstr>Personnel!Print_Titles</vt:lpstr>
      <vt:lpstr>'Summary budget'!Print_Titles</vt:lpstr>
      <vt:lpstr>salary_expense</vt:lpstr>
    </vt:vector>
  </TitlesOfParts>
  <Company>Ahola, Mack &amp; Associates,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Boland</dc:creator>
  <cp:lastModifiedBy>Steve Boland</cp:lastModifiedBy>
  <cp:lastPrinted>2010-07-25T14:36:44Z</cp:lastPrinted>
  <dcterms:created xsi:type="dcterms:W3CDTF">2009-12-06T17:08:44Z</dcterms:created>
  <dcterms:modified xsi:type="dcterms:W3CDTF">2013-11-10T17:42:31Z</dcterms:modified>
</cp:coreProperties>
</file>